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Orçamento" sheetId="1" r:id="rId1"/>
    <sheet name="Cronograma" sheetId="2" r:id="rId2"/>
    <sheet name="BDI" sheetId="3" r:id="rId3"/>
  </sheets>
  <externalReferences>
    <externalReference r:id="rId6"/>
  </externalReferences>
  <definedNames>
    <definedName name="_xlnm.Print_Area" localSheetId="1">'Cronograma'!$A$1:$J$19</definedName>
    <definedName name="_xlnm.Print_Area" localSheetId="0">'Orçamento'!$A$1:$M$66</definedName>
    <definedName name="_xlnm.Print_Titles" localSheetId="0">'Orçamento'!$4:$4</definedName>
  </definedNames>
  <calcPr fullCalcOnLoad="1"/>
</workbook>
</file>

<file path=xl/sharedStrings.xml><?xml version="1.0" encoding="utf-8"?>
<sst xmlns="http://schemas.openxmlformats.org/spreadsheetml/2006/main" count="327" uniqueCount="210">
  <si>
    <t>Especificação - descrição das caracteristicas de materiais e serviços.</t>
  </si>
  <si>
    <t>PAREDES E PAINEIS</t>
  </si>
  <si>
    <t>GESSO</t>
  </si>
  <si>
    <t>M²</t>
  </si>
  <si>
    <t>ESQUADRIAS</t>
  </si>
  <si>
    <t>PORTAS</t>
  </si>
  <si>
    <t>CONJ.</t>
  </si>
  <si>
    <t>FORROS</t>
  </si>
  <si>
    <t>PINTURA</t>
  </si>
  <si>
    <t>PINTURA SOBRE  MADEIRA</t>
  </si>
  <si>
    <t>UN.</t>
  </si>
  <si>
    <t>1.0</t>
  </si>
  <si>
    <t>2.1</t>
  </si>
  <si>
    <t>2.2</t>
  </si>
  <si>
    <t>3.1</t>
  </si>
  <si>
    <t>4.1</t>
  </si>
  <si>
    <t>5.1</t>
  </si>
  <si>
    <t>5.2</t>
  </si>
  <si>
    <t>6.1</t>
  </si>
  <si>
    <t>6.2</t>
  </si>
  <si>
    <t>6.3</t>
  </si>
  <si>
    <t>6.4</t>
  </si>
  <si>
    <t>6.0</t>
  </si>
  <si>
    <t>5.0</t>
  </si>
  <si>
    <t>4.0</t>
  </si>
  <si>
    <t>3.0</t>
  </si>
  <si>
    <t>2.0</t>
  </si>
  <si>
    <t>1.1</t>
  </si>
  <si>
    <t>7.0</t>
  </si>
  <si>
    <t>TOTAL</t>
  </si>
  <si>
    <t>ITEM</t>
  </si>
  <si>
    <t>SERVIÇO</t>
  </si>
  <si>
    <t>QTD.</t>
  </si>
  <si>
    <t>CUSTO UNITÁRIO          R$</t>
  </si>
  <si>
    <t>CUSTO TOTAL       R$</t>
  </si>
  <si>
    <t>PESO</t>
  </si>
  <si>
    <t>KIT DE PORTA DE MADEIRA PARA PINTURA, SEMI-OCA (LEVE OU MÉDIA), PADRÃO MÉDIO, 90X210CM, ESPESSURA DE 3,5CM, ITENS INCLUSOS: DOBRADIÇAS, MONTAGEM E INSTALAÇÃO DO BATENTE, FECHADURA COM EXECUÇÃO DO FURO - FORNECIMENTO E INSTALAÇÃO.</t>
  </si>
  <si>
    <t>COMPOSIÇÃO DE B.D.I.</t>
  </si>
  <si>
    <t>ITENS</t>
  </si>
  <si>
    <t>SIGLAS</t>
  </si>
  <si>
    <t>VALORES</t>
  </si>
  <si>
    <t>TAXA DE RATEIO DA ADMINISTRAÇÃO CENTRAL</t>
  </si>
  <si>
    <t>AC</t>
  </si>
  <si>
    <t>TAXA DE SEGURO E GARANTIA DO EMPREENDIMENTO</t>
  </si>
  <si>
    <t>S+G</t>
  </si>
  <si>
    <t>TAXA DE RISCO</t>
  </si>
  <si>
    <t>R</t>
  </si>
  <si>
    <t>TAXA DE DESPESAS FINANCEIRAS</t>
  </si>
  <si>
    <t>DF</t>
  </si>
  <si>
    <t>TAXA DE LUCRO</t>
  </si>
  <si>
    <t>L</t>
  </si>
  <si>
    <t>TAXA DE TRIBUTOS</t>
  </si>
  <si>
    <t>PIS (geralmente 0,65%)</t>
  </si>
  <si>
    <t>I</t>
  </si>
  <si>
    <t>COFINS (geralmente 3,00%)</t>
  </si>
  <si>
    <t>ISS (legislação municipal)</t>
  </si>
  <si>
    <t>CPRB (INSS)</t>
  </si>
  <si>
    <t>BDI RESULTANTE</t>
  </si>
  <si>
    <t>FÓRMULA UTILIZADA:</t>
  </si>
  <si>
    <t>_________________________________________________________</t>
  </si>
  <si>
    <t>Secretaria de Ação Social, Trabalho e Renda, 10 de agosto de 2020.</t>
  </si>
  <si>
    <t>SECRETÁRIA DE AÇÃO SOCIAL, TRABALHO E RENDA</t>
  </si>
  <si>
    <t>Natalina Aparecida Delforno dos Santos Alves</t>
  </si>
  <si>
    <t>FONTE</t>
  </si>
  <si>
    <t>CÓDIGO</t>
  </si>
  <si>
    <t>SINAPI</t>
  </si>
  <si>
    <t>CPOS</t>
  </si>
  <si>
    <t>M</t>
  </si>
  <si>
    <t xml:space="preserve">8.0 </t>
  </si>
  <si>
    <t>04.08.020</t>
  </si>
  <si>
    <t>04.08.060</t>
  </si>
  <si>
    <t>041.08.080</t>
  </si>
  <si>
    <t>Retirada de folha de esquadria em madeira</t>
  </si>
  <si>
    <t>RETIRADA DE ESQUADRIA E ELEMENTOS DE MADEIRA</t>
  </si>
  <si>
    <t>PINTURA INTERNA PAREDE</t>
  </si>
  <si>
    <t>PINTURA INTERNA TETO</t>
  </si>
  <si>
    <t>PINTURA EXTERNA</t>
  </si>
  <si>
    <t>APLICAÇÃO MANUAL DE PINTURA COM TINTA LÁTEX ACRÍLICA EM PAREDES DE ALVENARIA EXISTENTES E PAREDES NOVAS DE GESSO, DUAS DEMÃOS;</t>
  </si>
  <si>
    <t>Remoção de pintura em superfícies de madeira e/ou metálicas com lixamento</t>
  </si>
  <si>
    <t>PINTURA SOBRE SUPERFICIE METALICA</t>
  </si>
  <si>
    <t>8.1</t>
  </si>
  <si>
    <t>7.1</t>
  </si>
  <si>
    <t>8.2</t>
  </si>
  <si>
    <t>8.3</t>
  </si>
  <si>
    <t>9.0</t>
  </si>
  <si>
    <t>Retirada de batente com guarnição e peças lineares em madeira, chumbados.</t>
  </si>
  <si>
    <t>Retirada de guarnição, moldura e peças lineares em madeira, fixadas.</t>
  </si>
  <si>
    <t>REMOÇÃO NAS ESQUADRIAS METÁLICAS EXISTENTES</t>
  </si>
  <si>
    <t>PINTURA COM TINTA ALQUÍDICA DE ACABAMENTO (ESMALTE SINTÉTICO ACETINADO ) APLICADA A ROLO OU PINCEL SOBRE SUPERFÍCIES METÁLICAS (EXCETO PERFIL ) EXECUTADO EM OBRA (POR DEMÃO). TODAS AS ESQUADRIAS METÁLICAS.</t>
  </si>
  <si>
    <t>PINTURA EM VERNIZ SINTETICO BRILHANTE EM MADEIRA, TRES DEMAOS. TODAS AS PORTAS DE MADEIRA.</t>
  </si>
  <si>
    <t>Tabela de custo SINAPI data base: 15/07/2020   Leis Sociais: 85,06% BDI:30% - Tabela de custo CPOS nº 179 data base 01/07/2020 Leis Sociais: 98,38% BDI:30%</t>
  </si>
  <si>
    <t>MÊS 01</t>
  </si>
  <si>
    <t>MÊS 02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</si>
  <si>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</si>
  <si>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</si>
  <si>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</si>
  <si>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</si>
  <si>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</si>
  <si>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</si>
  <si>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</si>
  <si>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</si>
  <si>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ORÇAMENTO - CENTRO DE REFERENCIA DE ASSISTENCIA SOCIAL - CRAS CRUZEIRO</t>
  </si>
  <si>
    <t>Rua Eugenio Joly,nº 21 , ‘Cruzeiro'</t>
  </si>
  <si>
    <t>M³</t>
  </si>
  <si>
    <t>DEMOLIÇÃO DE ALVENARIA</t>
  </si>
  <si>
    <t>RETIRADA DE ESQUADRIAS E ELEMENTOS METÁLICOS</t>
  </si>
  <si>
    <t>Retirada de esquadria metálica em geral</t>
  </si>
  <si>
    <t>04.09.020</t>
  </si>
  <si>
    <t>RETIRADA DE APARELHOS, METAIS SANITARIOS E REGISTRO</t>
  </si>
  <si>
    <t>Retirada de bancada incluindo pertences</t>
  </si>
  <si>
    <t>04.11.030</t>
  </si>
  <si>
    <t xml:space="preserve">DEMOLIÇÃO DE REVESTIMENTO CERAMICO </t>
  </si>
  <si>
    <t>Demolição manual de revestimento cerâmico, incluindo a base</t>
  </si>
  <si>
    <t>03.04.020</t>
  </si>
  <si>
    <t>Demolição manual de alvenaria de elevação ou elemento vazado, incluindo revestimento</t>
  </si>
  <si>
    <t>03.02.040</t>
  </si>
  <si>
    <t>PISO</t>
  </si>
  <si>
    <t>17.01.060</t>
  </si>
  <si>
    <t>18.08.062</t>
  </si>
  <si>
    <t>Revestimento em porcelanato esmaltado acetinado para área interna e ambiente com acesso ao exterior, grupo de absorção BIa, resistência química B, assentado com argamassa colante industrializada, rejuntado.</t>
  </si>
  <si>
    <t>18.08.100</t>
  </si>
  <si>
    <t>Rodapé em porcelanato esmaltado acetinado para área interna e ambiente com acesso ao
exterior, grupo de absorção BIa, resistência química B, assentado com argamassa colante industrializada, rejuntado.</t>
  </si>
  <si>
    <t>Regularização de piso com nata de cimento e bianco.</t>
  </si>
  <si>
    <t>ALVENARIA DE VEDAÇÃO DE BLOCOS VAZADOS DE CONCRETO DE 14X19X39CM (ESPESSURA 14CM) DE PAREDES COM ÁREA LÍQUIDA MENOR QUE 6M² SEM VÃOS E ARGAMASSA DE ASSENTAMENTO COM PREPARO MANUAL.</t>
  </si>
  <si>
    <t>ALVENARIA DE BLOCO DE CONCRETO</t>
  </si>
  <si>
    <t>CHAPISCO</t>
  </si>
  <si>
    <t>REBOCO MASSA ÚNICA</t>
  </si>
  <si>
    <t>REVESTIMENTO DE PAREDE</t>
  </si>
  <si>
    <t>JANELAS</t>
  </si>
  <si>
    <t>JANELA DE ALUMÍNIO COM VIDROS, BATENTE E FERRAGENS. EXCLUSIVE ALIZAR, ACABAMENTO E CONTRAMARCO. FORNECIMENTO E INSTALAÇÃO.</t>
  </si>
  <si>
    <t>INSTALAÇÃO HIDRAULICA</t>
  </si>
  <si>
    <t>TUBO, PVC, SOLDÁVEL, DN 25MM, INSTALADO EM RAMAL OU SUB-RAMAL DE ÁGUA - FORNECIMENTO E INSTALAÇÃO.</t>
  </si>
  <si>
    <t>TUBO PVC, SERIE NORMAL, ESGOTO PREDIAL, DN 100 MM, FORNECIDO E INSTALADO EM RAMAL DE DESCARGA OU RAMAL DE ESGOTO SANITÁRIO.</t>
  </si>
  <si>
    <t>VASO SANITÁRIO SIFONADO COM CAIXA ACOPLADA LOUÇA BRANCA - FORNECIMENTO E INSTALAÇÃO.</t>
  </si>
  <si>
    <t>ENGATE FLEXÍVEL EM PLÁSTICO BRANCO, 1/2 X 40CM - FORNECIMENTO E INSTALAÇÃO.</t>
  </si>
  <si>
    <t>SIFÃO DO TIPO FLEXÍVEL EM PVC 1 X 1.1/2 - FORNECIMENTO E INSTALAÇÃO.</t>
  </si>
  <si>
    <t>VÁLVULA EM PLÁSTICO 1 PARA PIA, TANQUE OU LAVATÓRIO, COM OU SEM LADRÃO - FORNECIMENTO E INSTALAÇÃO.</t>
  </si>
  <si>
    <t>CAIXA SIFONADA, PVC, DN 100 X 100 X 50 MM, JUNTA ELÁSTICA, FORNECIDA E INSTALADA EM RAMAL DE DESCARGA OU EM RAMAL DE ESGOTO SANITÁRIO.</t>
  </si>
  <si>
    <t>CAIXA ENTERRADA HIDRÁULICA RETANGULAR, EM ALVENARIA COM BLOCOS DE CONCRETO, DIMENSÕES INTERNAS: 0,6X0,6X0,6 M PARA REDE DE DRENAGEM.</t>
  </si>
  <si>
    <t>LAVATÓRIO LOUÇA BRANCA COM COLUNA, *44 X 35,5* CM, PADRÃO POPULAR - FORNECIMENTO E INSTALAÇÃO.</t>
  </si>
  <si>
    <t>TORNEIRA CROMADA DE MESA, 1/2 OU 3/4, PARA LAVATÓRIO, PADRÃO POPULAR- FORNECIMENTO E INSTALAÇÃO.</t>
  </si>
  <si>
    <t>JOELHO 90 GRAUS, PVC, SOLDÁVEL, DN 25MM, INSTALADO EM RAMAL OU SUB-RAMAL DE ÁGUA - FORNECIMENTO E INSTALAÇÃO.</t>
  </si>
  <si>
    <t>ADAPTADOR CURTO COM BOLSA E ROSCA PARA REGISTRO, PVC, SOLDÁVEL, DN 25M M X 3/4, INSTALADO EM RAMAL OU SUB-RAMAL DE ÁGUA - FORNECIMENTO E INSTALAÇÃO.</t>
  </si>
  <si>
    <t>KIT DE REGISTRO DE GAVETA BRUTO DE LATÃO ¾", INCLUSIVE CONEXÕES, ROSCÁVEL, INSTALADO EM RAMAL DE ÁGUA FRIA - FORNECIMENTO E INSTALAÇÃO.</t>
  </si>
  <si>
    <t>JOELHO 90 GRAUS, PVC, SERIE NORMAL, ESGOTO PREDIAL, DN 100 MM, JUNTA ELÁSTICA, FORNECIDO E INSTALADO EM RAMAL DE DESCARGA OU RAMAL DE ESGOTO SANITÁRIO.</t>
  </si>
  <si>
    <t>1.2</t>
  </si>
  <si>
    <t>3.2</t>
  </si>
  <si>
    <t>3.3</t>
  </si>
  <si>
    <t>10.0</t>
  </si>
  <si>
    <t>11.0</t>
  </si>
  <si>
    <t>12.0</t>
  </si>
  <si>
    <t>13.0</t>
  </si>
  <si>
    <t>6.5</t>
  </si>
  <si>
    <t>6.6</t>
  </si>
  <si>
    <t>6.7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</si>
  <si>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</si>
  <si>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</si>
  <si>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</si>
  <si>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</si>
  <si>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</si>
  <si>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</si>
  <si>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</si>
  <si>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</si>
  <si>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</si>
  <si>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</si>
  <si>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</si>
  <si>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</si>
  <si>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</si>
  <si>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JOELHO 90 GRAUS COM BUCHA DE LATÃO, PVC, SOLDÁVEL, DN 25MM, X 3/4 INSTALADO EM RAMAL OU SUB-RAMAL DE ÁGUA - FORNECIMENTO E INSTALAÇÃO.</t>
  </si>
  <si>
    <t>7.16</t>
  </si>
  <si>
    <t>LIMPEZA DE SUPERFÍCIE COM JATO DE ALTA PRESSÃO.</t>
  </si>
  <si>
    <t>LIMPEZA DE PAREDES E PISOS EXTERNOS</t>
  </si>
  <si>
    <t>PINTURA ACRILICA EM PISO CIMENTADO, TRES DEMAOS</t>
  </si>
  <si>
    <t>79500/002</t>
  </si>
  <si>
    <t>PINTURA SOBRE PISO EXTERNO</t>
  </si>
  <si>
    <t>CALHA METÁLICA</t>
  </si>
  <si>
    <t>CALHA EM CHAPA DE AÇO GALVANIZADO NÚMERO 24, DESENVOLVIMENTO DE 100 CM, INCLUSO TRANSPORTE VERTICAL.</t>
  </si>
  <si>
    <t>14.0</t>
  </si>
  <si>
    <t>IMPERMEABILIZAÇÃO DE SUPERFÍCIE COM MEMBRANA À BASE DE RESINA ACRÍLICA, 3 DEMÃOS.</t>
  </si>
  <si>
    <t>IMPERMEABILIZAÇÃO DE SUPERFÍCIES - PAREDES E LAJES</t>
  </si>
  <si>
    <t>15.0</t>
  </si>
  <si>
    <t>16.0</t>
  </si>
  <si>
    <t>MANUTENÇÃO COM POSSIVEL TROCA DE CALHAS EXISTENTES NA COBERTURA DO PREDIO</t>
  </si>
  <si>
    <t xml:space="preserve">IMPERMEABILIZAÇÃO DE TODOS OS PONTOS EM PAREDE E TETO INTERNOS COM INCIDENCIA DE INFILTRAÇÃO. </t>
  </si>
  <si>
    <t>LIMPEZA COM JATO DE AGUA EM TODAS AS PAREDES E PISOS EXTERNOS.</t>
  </si>
  <si>
    <t>REGULARIZAÇÃO PARA ASSENTTAMENTO DE PISO SOBRE PISO EM TODOS OS AMBIENTES INTERNOS</t>
  </si>
  <si>
    <t>ASSENTAMENTO DE PISO SOBRE PISO EXISTENTE EM TODOS OS AMBIENTES INTERNOS.</t>
  </si>
  <si>
    <t>COLOCAÇÃO DE RODAPÉ EM PORCELANATO COM ALTURA MÉDIA DE 12 CM.</t>
  </si>
  <si>
    <t>PAREDE 95 mm ACABADO (1st/70/1st) COM PLACAS DE GESSO ACARTONADO (DRYWALL), PARA USO INTERNO, COM DUAS FACES SIMPLES E ESTRUTURA METÁLICA COM GUIAS SIMPLES, COM VÃOS. BANHEIRO COM PAREDE DE GESSO "VERDE" PARA AREAS UMIDAS.</t>
  </si>
  <si>
    <t>MASSA ÚNICA, PARA RECEBIMENTO DE PINTURA, EM ARGAMASSA TRAÇO 1:2:8,PREPARO MANUAL, APLICADA MANUALMENTE EM FACES INTERNAS DE PAREDES, ESPESSURA DE 10MM, COM EXECUÇÃO DE TALISCAS. INCLUSIVE REGULARIZAÇÃO DE PAREDES ONDE RETIRADO AZULEJOS.</t>
  </si>
  <si>
    <t>CHAPISCO APLICADO EM ALVENARIAS E ESTRUTURAS DE CONCRETO COM COLHER DE PEDREIRO. ARGAMASSA TRAÇO 1:3 COM PREPARO MANUAL. INCLUSIVE REGULARIZAÇÃO DE PAREDES ONDE RETIRADO AZULEJOS.</t>
  </si>
  <si>
    <t>FORRO EM DRYWALL TABICADO, INCLUSIVE ESTRUTURA DE FIXAÇÃO. VÃO DE ABERTURA NO CORREDOR .</t>
  </si>
  <si>
    <t>APLICAÇÃO MANUAL DE PINTURA COM TINTA LÁTEX PVA EM TETO, DUAS DEMÃOS.</t>
  </si>
  <si>
    <t>APLICAÇÃO MANUAL DE PINTURA COM TINTA LÁTEX PVA EM PAREDES, DUAS DEMÃOS.</t>
  </si>
  <si>
    <t>AZULEJO E RODAPÉ EXISTENTE</t>
  </si>
  <si>
    <t>PAREDES EXISTENTES PARA ADEQUAÇÃOM DE SALAS DE ATENDIMENTO.</t>
  </si>
  <si>
    <t>44.20.300</t>
  </si>
  <si>
    <t>Bolsa para bacia sanitária</t>
  </si>
  <si>
    <t>44.20.280</t>
  </si>
  <si>
    <t>Tampa de plástico para bacia sanitária</t>
  </si>
  <si>
    <t>03.10.100</t>
  </si>
  <si>
    <t>7.2</t>
  </si>
  <si>
    <t>7.17</t>
  </si>
  <si>
    <t>9.1</t>
  </si>
  <si>
    <t>10.1</t>
  </si>
  <si>
    <t>11.1</t>
  </si>
  <si>
    <t>12.1</t>
  </si>
  <si>
    <t>13.1</t>
  </si>
  <si>
    <t>14.1</t>
  </si>
  <si>
    <t>15.1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</si>
</sst>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;;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ck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ck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0" fontId="3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10" fontId="3" fillId="33" borderId="11" xfId="49" applyNumberFormat="1" applyFont="1" applyFill="1" applyBorder="1" applyAlignment="1" applyProtection="1">
      <alignment horizontal="center" vertical="center" wrapText="1"/>
      <protection locked="0"/>
    </xf>
    <xf numFmtId="10" fontId="3" fillId="33" borderId="12" xfId="49" applyNumberFormat="1" applyFont="1" applyFill="1" applyBorder="1" applyAlignment="1" applyProtection="1">
      <alignment horizontal="center" vertical="center" wrapText="1"/>
      <protection locked="0"/>
    </xf>
    <xf numFmtId="10" fontId="3" fillId="33" borderId="11" xfId="49" applyNumberFormat="1" applyFont="1" applyFill="1" applyBorder="1" applyAlignment="1" applyProtection="1">
      <alignment horizontal="center" vertical="center" wrapText="1"/>
      <protection/>
    </xf>
    <xf numFmtId="10" fontId="4" fillId="34" borderId="13" xfId="49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47" applyFont="1" applyBorder="1" applyAlignment="1">
      <alignment horizontal="left" vertical="center" wrapText="1"/>
      <protection/>
    </xf>
    <xf numFmtId="0" fontId="7" fillId="0" borderId="0" xfId="47" applyFont="1" applyBorder="1" applyAlignment="1">
      <alignment vertical="center"/>
      <protection/>
    </xf>
    <xf numFmtId="4" fontId="7" fillId="0" borderId="0" xfId="47" applyNumberFormat="1" applyFont="1" applyBorder="1" applyAlignment="1">
      <alignment horizontal="center" vertical="center"/>
      <protection/>
    </xf>
    <xf numFmtId="4" fontId="7" fillId="0" borderId="0" xfId="47" applyNumberFormat="1" applyFont="1" applyBorder="1" applyAlignment="1">
      <alignment vertical="center"/>
      <protection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2" fillId="0" borderId="0" xfId="0" applyFont="1" applyAlignment="1">
      <alignment/>
    </xf>
    <xf numFmtId="0" fontId="43" fillId="0" borderId="2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 horizontal="center" vertical="center"/>
    </xf>
    <xf numFmtId="164" fontId="43" fillId="0" borderId="25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35" borderId="22" xfId="0" applyFont="1" applyFill="1" applyBorder="1" applyAlignment="1">
      <alignment/>
    </xf>
    <xf numFmtId="0" fontId="44" fillId="35" borderId="22" xfId="0" applyFont="1" applyFill="1" applyBorder="1" applyAlignment="1">
      <alignment horizontal="center" vertical="center"/>
    </xf>
    <xf numFmtId="0" fontId="44" fillId="35" borderId="22" xfId="0" applyFont="1" applyFill="1" applyBorder="1" applyAlignment="1">
      <alignment horizontal="left" vertical="center"/>
    </xf>
    <xf numFmtId="0" fontId="43" fillId="35" borderId="22" xfId="0" applyFont="1" applyFill="1" applyBorder="1" applyAlignment="1">
      <alignment horizontal="center" vertical="center"/>
    </xf>
    <xf numFmtId="4" fontId="43" fillId="35" borderId="22" xfId="0" applyNumberFormat="1" applyFont="1" applyFill="1" applyBorder="1" applyAlignment="1">
      <alignment horizontal="center" vertical="center"/>
    </xf>
    <xf numFmtId="4" fontId="44" fillId="35" borderId="22" xfId="0" applyNumberFormat="1" applyFont="1" applyFill="1" applyBorder="1" applyAlignment="1">
      <alignment horizontal="center" vertical="center"/>
    </xf>
    <xf numFmtId="10" fontId="43" fillId="35" borderId="22" xfId="49" applyNumberFormat="1" applyFont="1" applyFill="1" applyBorder="1" applyAlignment="1">
      <alignment horizontal="center" vertical="center"/>
    </xf>
    <xf numFmtId="0" fontId="43" fillId="0" borderId="22" xfId="0" applyFont="1" applyBorder="1" applyAlignment="1">
      <alignment horizontal="left" vertical="center"/>
    </xf>
    <xf numFmtId="4" fontId="43" fillId="0" borderId="22" xfId="0" applyNumberFormat="1" applyFont="1" applyBorder="1" applyAlignment="1">
      <alignment horizontal="center" vertical="center"/>
    </xf>
    <xf numFmtId="10" fontId="43" fillId="0" borderId="22" xfId="49" applyNumberFormat="1" applyFont="1" applyBorder="1" applyAlignment="1">
      <alignment vertical="center"/>
    </xf>
    <xf numFmtId="0" fontId="43" fillId="0" borderId="22" xfId="0" applyFont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 wrapText="1"/>
    </xf>
    <xf numFmtId="0" fontId="44" fillId="35" borderId="22" xfId="0" applyFont="1" applyFill="1" applyBorder="1" applyAlignment="1">
      <alignment horizontal="left" vertical="center" wrapText="1"/>
    </xf>
    <xf numFmtId="10" fontId="43" fillId="0" borderId="22" xfId="49" applyNumberFormat="1" applyFont="1" applyBorder="1" applyAlignment="1">
      <alignment/>
    </xf>
    <xf numFmtId="0" fontId="43" fillId="0" borderId="22" xfId="0" applyFont="1" applyBorder="1" applyAlignment="1">
      <alignment/>
    </xf>
    <xf numFmtId="0" fontId="43" fillId="35" borderId="22" xfId="0" applyNumberFormat="1" applyFont="1" applyFill="1" applyBorder="1" applyAlignment="1">
      <alignment horizontal="center" vertical="center"/>
    </xf>
    <xf numFmtId="2" fontId="43" fillId="0" borderId="22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/>
    </xf>
    <xf numFmtId="10" fontId="43" fillId="35" borderId="22" xfId="49" applyNumberFormat="1" applyFont="1" applyFill="1" applyBorder="1" applyAlignment="1">
      <alignment/>
    </xf>
    <xf numFmtId="0" fontId="42" fillId="0" borderId="26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7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left" vertical="center"/>
    </xf>
    <xf numFmtId="0" fontId="42" fillId="0" borderId="32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35" borderId="22" xfId="0" applyFont="1" applyFill="1" applyBorder="1" applyAlignment="1">
      <alignment/>
    </xf>
    <xf numFmtId="0" fontId="42" fillId="0" borderId="33" xfId="0" applyFont="1" applyFill="1" applyBorder="1" applyAlignment="1">
      <alignment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42" fillId="35" borderId="33" xfId="0" applyFont="1" applyFill="1" applyBorder="1" applyAlignment="1">
      <alignment/>
    </xf>
    <xf numFmtId="0" fontId="42" fillId="35" borderId="32" xfId="0" applyFont="1" applyFill="1" applyBorder="1" applyAlignment="1">
      <alignment/>
    </xf>
    <xf numFmtId="0" fontId="44" fillId="0" borderId="31" xfId="0" applyFont="1" applyFill="1" applyBorder="1" applyAlignment="1">
      <alignment horizontal="left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1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34" xfId="0" applyFont="1" applyBorder="1" applyAlignment="1">
      <alignment horizontal="left" vertical="center" wrapText="1"/>
    </xf>
    <xf numFmtId="0" fontId="42" fillId="35" borderId="31" xfId="0" applyFont="1" applyFill="1" applyBorder="1" applyAlignment="1">
      <alignment horizontal="center"/>
    </xf>
    <xf numFmtId="0" fontId="42" fillId="35" borderId="25" xfId="0" applyFont="1" applyFill="1" applyBorder="1" applyAlignment="1">
      <alignment horizontal="center"/>
    </xf>
    <xf numFmtId="0" fontId="42" fillId="35" borderId="34" xfId="0" applyFont="1" applyFill="1" applyBorder="1" applyAlignment="1">
      <alignment horizontal="center"/>
    </xf>
    <xf numFmtId="0" fontId="45" fillId="35" borderId="31" xfId="0" applyFont="1" applyFill="1" applyBorder="1" applyAlignment="1">
      <alignment horizontal="center"/>
    </xf>
    <xf numFmtId="0" fontId="45" fillId="35" borderId="25" xfId="0" applyFont="1" applyFill="1" applyBorder="1" applyAlignment="1">
      <alignment horizontal="center"/>
    </xf>
    <xf numFmtId="0" fontId="45" fillId="35" borderId="34" xfId="0" applyFont="1" applyFill="1" applyBorder="1" applyAlignment="1">
      <alignment horizontal="center"/>
    </xf>
    <xf numFmtId="0" fontId="43" fillId="35" borderId="31" xfId="0" applyFont="1" applyFill="1" applyBorder="1" applyAlignment="1">
      <alignment horizontal="center" vertical="center"/>
    </xf>
    <xf numFmtId="0" fontId="43" fillId="35" borderId="25" xfId="0" applyFont="1" applyFill="1" applyBorder="1" applyAlignment="1">
      <alignment horizontal="center" vertical="center"/>
    </xf>
    <xf numFmtId="0" fontId="43" fillId="35" borderId="34" xfId="0" applyFont="1" applyFill="1" applyBorder="1" applyAlignment="1">
      <alignment horizontal="center" vertical="center"/>
    </xf>
    <xf numFmtId="0" fontId="43" fillId="35" borderId="31" xfId="0" applyFont="1" applyFill="1" applyBorder="1" applyAlignment="1">
      <alignment horizontal="center" vertical="center" wrapText="1"/>
    </xf>
    <xf numFmtId="0" fontId="43" fillId="35" borderId="25" xfId="0" applyFont="1" applyFill="1" applyBorder="1" applyAlignment="1">
      <alignment horizontal="center" vertical="center" wrapText="1"/>
    </xf>
    <xf numFmtId="0" fontId="43" fillId="35" borderId="34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left" vertical="center" wrapText="1"/>
    </xf>
    <xf numFmtId="0" fontId="42" fillId="35" borderId="22" xfId="0" applyFont="1" applyFill="1" applyBorder="1" applyAlignment="1">
      <alignment horizontal="center"/>
    </xf>
    <xf numFmtId="0" fontId="42" fillId="0" borderId="31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2" fillId="0" borderId="22" xfId="0" applyFont="1" applyBorder="1" applyAlignment="1">
      <alignment horizontal="center"/>
    </xf>
    <xf numFmtId="0" fontId="43" fillId="0" borderId="3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35" borderId="22" xfId="0" applyFont="1" applyFill="1" applyBorder="1" applyAlignment="1">
      <alignment horizontal="center" vertical="center" wrapText="1"/>
    </xf>
    <xf numFmtId="0" fontId="43" fillId="0" borderId="26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3" fillId="0" borderId="27" xfId="0" applyFont="1" applyBorder="1" applyAlignment="1">
      <alignment horizontal="left" wrapText="1"/>
    </xf>
    <xf numFmtId="0" fontId="43" fillId="0" borderId="26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43" fillId="0" borderId="35" xfId="0" applyFont="1" applyBorder="1" applyAlignment="1">
      <alignment horizontal="left"/>
    </xf>
    <xf numFmtId="0" fontId="43" fillId="35" borderId="31" xfId="0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0" fontId="43" fillId="35" borderId="34" xfId="0" applyFont="1" applyFill="1" applyBorder="1" applyAlignment="1">
      <alignment horizontal="center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4" fillId="34" borderId="13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4" fillId="34" borderId="45" xfId="0" applyFont="1" applyFill="1" applyBorder="1" applyAlignment="1">
      <alignment horizontal="left" vertical="center" wrapText="1"/>
    </xf>
    <xf numFmtId="0" fontId="4" fillId="34" borderId="46" xfId="0" applyFont="1" applyFill="1" applyBorder="1" applyAlignment="1">
      <alignment horizontal="left" vertical="center" wrapText="1"/>
    </xf>
    <xf numFmtId="0" fontId="4" fillId="34" borderId="4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0</xdr:rowOff>
    </xdr:from>
    <xdr:to>
      <xdr:col>6</xdr:col>
      <xdr:colOff>609600</xdr:colOff>
      <xdr:row>19</xdr:row>
      <xdr:rowOff>38100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4838700"/>
          <a:ext cx="2800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os\B%20D%20I\BDI%20SINAPI%20CAIX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1">
        <row r="23">
          <cell r="G23" t="str">
            <v>DESONERADO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SheetLayoutView="70" zoomScalePageLayoutView="0" workbookViewId="0" topLeftCell="E55">
      <selection activeCell="A69" sqref="A69:M69"/>
    </sheetView>
  </sheetViews>
  <sheetFormatPr defaultColWidth="9.140625" defaultRowHeight="15"/>
  <cols>
    <col min="1" max="1" width="7.140625" style="25" bestFit="1" customWidth="1"/>
    <col min="2" max="2" width="10.8515625" style="25" bestFit="1" customWidth="1"/>
    <col min="3" max="3" width="5.28125" style="25" bestFit="1" customWidth="1"/>
    <col min="4" max="4" width="51.140625" style="25" customWidth="1"/>
    <col min="5" max="5" width="6.57421875" style="25" bestFit="1" customWidth="1"/>
    <col min="6" max="6" width="7.140625" style="25" bestFit="1" customWidth="1"/>
    <col min="7" max="7" width="9.57421875" style="25" bestFit="1" customWidth="1"/>
    <col min="8" max="8" width="14.28125" style="25" bestFit="1" customWidth="1"/>
    <col min="9" max="9" width="8.8515625" style="25" bestFit="1" customWidth="1"/>
    <col min="10" max="12" width="9.140625" style="25" customWidth="1"/>
    <col min="13" max="13" width="43.00390625" style="25" customWidth="1"/>
    <col min="14" max="16384" width="9.140625" style="25" customWidth="1"/>
  </cols>
  <sheetData>
    <row r="1" spans="1:13" ht="12.75">
      <c r="A1" s="119" t="s">
        <v>101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2.75">
      <c r="A2" s="122" t="s">
        <v>102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</row>
    <row r="3" spans="1:13" ht="12.75">
      <c r="A3" s="125" t="s">
        <v>90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6" ht="38.25">
      <c r="A4" s="26" t="s">
        <v>63</v>
      </c>
      <c r="B4" s="26" t="s">
        <v>64</v>
      </c>
      <c r="C4" s="26" t="s">
        <v>30</v>
      </c>
      <c r="D4" s="26" t="s">
        <v>31</v>
      </c>
      <c r="E4" s="26" t="s">
        <v>10</v>
      </c>
      <c r="F4" s="26" t="s">
        <v>32</v>
      </c>
      <c r="G4" s="27" t="s">
        <v>33</v>
      </c>
      <c r="H4" s="27" t="s">
        <v>34</v>
      </c>
      <c r="I4" s="26" t="s">
        <v>35</v>
      </c>
      <c r="J4" s="96" t="s">
        <v>0</v>
      </c>
      <c r="K4" s="96"/>
      <c r="L4" s="96"/>
      <c r="M4" s="96"/>
      <c r="N4" s="28"/>
      <c r="O4" s="28"/>
      <c r="P4" s="28"/>
    </row>
    <row r="5" spans="1:16" ht="12.75">
      <c r="A5" s="29"/>
      <c r="B5" s="30"/>
      <c r="C5" s="76"/>
      <c r="D5" s="76"/>
      <c r="E5" s="31"/>
      <c r="F5" s="31"/>
      <c r="G5" s="32">
        <v>1.3</v>
      </c>
      <c r="H5" s="33"/>
      <c r="I5" s="31"/>
      <c r="J5" s="76"/>
      <c r="K5" s="76"/>
      <c r="L5" s="76"/>
      <c r="M5" s="77"/>
      <c r="N5" s="28"/>
      <c r="O5" s="28"/>
      <c r="P5" s="28"/>
    </row>
    <row r="6" spans="1:13" ht="12.75">
      <c r="A6" s="34"/>
      <c r="B6" s="34"/>
      <c r="C6" s="35" t="s">
        <v>11</v>
      </c>
      <c r="D6" s="36" t="s">
        <v>1</v>
      </c>
      <c r="E6" s="37"/>
      <c r="F6" s="38"/>
      <c r="G6" s="37"/>
      <c r="H6" s="39">
        <f>H7+H8</f>
        <v>2969.50212</v>
      </c>
      <c r="I6" s="40">
        <f>H6/H65</f>
        <v>0.04453102608055059</v>
      </c>
      <c r="J6" s="90"/>
      <c r="K6" s="91"/>
      <c r="L6" s="91"/>
      <c r="M6" s="92"/>
    </row>
    <row r="7" spans="1:13" ht="12.75">
      <c r="A7" s="26" t="s">
        <v>65</v>
      </c>
      <c r="B7" s="26">
        <v>96359</v>
      </c>
      <c r="C7" s="26" t="s">
        <v>27</v>
      </c>
      <c r="D7" s="41" t="s">
        <v>2</v>
      </c>
      <c r="E7" s="26" t="s">
        <v>3</v>
      </c>
      <c r="F7" s="42">
        <v>26.56</v>
      </c>
      <c r="G7" s="42">
        <f>83.43*$G$5</f>
        <v>108.45900000000002</v>
      </c>
      <c r="H7" s="42">
        <f>F7*G7</f>
        <v>2880.67104</v>
      </c>
      <c r="I7" s="43"/>
      <c r="J7" s="97" t="s">
        <v>188</v>
      </c>
      <c r="K7" s="97"/>
      <c r="L7" s="97"/>
      <c r="M7" s="97"/>
    </row>
    <row r="8" spans="1:13" ht="12.75">
      <c r="A8" s="26" t="s">
        <v>65</v>
      </c>
      <c r="B8" s="26">
        <v>87450</v>
      </c>
      <c r="C8" s="26" t="s">
        <v>145</v>
      </c>
      <c r="D8" s="41" t="s">
        <v>124</v>
      </c>
      <c r="E8" s="26" t="s">
        <v>3</v>
      </c>
      <c r="F8" s="42">
        <v>1.08</v>
      </c>
      <c r="G8" s="42">
        <f>63.27*G5</f>
        <v>82.251</v>
      </c>
      <c r="H8" s="42">
        <f>F8*G8</f>
        <v>88.83108000000001</v>
      </c>
      <c r="I8" s="43"/>
      <c r="J8" s="97" t="s">
        <v>123</v>
      </c>
      <c r="K8" s="97"/>
      <c r="L8" s="97"/>
      <c r="M8" s="97"/>
    </row>
    <row r="9" spans="1:13" ht="12.75">
      <c r="A9" s="34"/>
      <c r="B9" s="34"/>
      <c r="C9" s="35" t="s">
        <v>26</v>
      </c>
      <c r="D9" s="36" t="s">
        <v>4</v>
      </c>
      <c r="E9" s="37"/>
      <c r="F9" s="38"/>
      <c r="G9" s="37"/>
      <c r="H9" s="39">
        <f>SUM(H10:H11)</f>
        <v>3400.8429</v>
      </c>
      <c r="I9" s="40">
        <f>H9/H65</f>
        <v>0.05099946649499455</v>
      </c>
      <c r="J9" s="90"/>
      <c r="K9" s="91"/>
      <c r="L9" s="91"/>
      <c r="M9" s="92"/>
    </row>
    <row r="10" spans="1:13" ht="12.75">
      <c r="A10" s="26" t="s">
        <v>65</v>
      </c>
      <c r="B10" s="26">
        <v>90844</v>
      </c>
      <c r="C10" s="26" t="s">
        <v>12</v>
      </c>
      <c r="D10" s="41" t="s">
        <v>5</v>
      </c>
      <c r="E10" s="26" t="s">
        <v>6</v>
      </c>
      <c r="F10" s="42">
        <v>3</v>
      </c>
      <c r="G10" s="42">
        <f>759.58*G5</f>
        <v>987.4540000000001</v>
      </c>
      <c r="H10" s="42">
        <f>F10*G10</f>
        <v>2962.362</v>
      </c>
      <c r="I10" s="43"/>
      <c r="J10" s="97" t="s">
        <v>36</v>
      </c>
      <c r="K10" s="97"/>
      <c r="L10" s="97"/>
      <c r="M10" s="97"/>
    </row>
    <row r="11" spans="1:13" ht="12.75">
      <c r="A11" s="26" t="s">
        <v>65</v>
      </c>
      <c r="B11" s="26">
        <v>94569</v>
      </c>
      <c r="C11" s="26" t="s">
        <v>13</v>
      </c>
      <c r="D11" s="41" t="s">
        <v>128</v>
      </c>
      <c r="E11" s="26" t="s">
        <v>3</v>
      </c>
      <c r="F11" s="42">
        <v>0.9</v>
      </c>
      <c r="G11" s="42">
        <f>374.77*G5</f>
        <v>487.20099999999996</v>
      </c>
      <c r="H11" s="42">
        <f>F11*G11</f>
        <v>438.48089999999996</v>
      </c>
      <c r="I11" s="43"/>
      <c r="J11" s="97" t="s">
        <v>129</v>
      </c>
      <c r="K11" s="97"/>
      <c r="L11" s="97"/>
      <c r="M11" s="97"/>
    </row>
    <row r="12" spans="1:13" ht="12.75">
      <c r="A12" s="34"/>
      <c r="B12" s="34"/>
      <c r="C12" s="35" t="s">
        <v>25</v>
      </c>
      <c r="D12" s="36" t="s">
        <v>116</v>
      </c>
      <c r="E12" s="37"/>
      <c r="F12" s="38"/>
      <c r="G12" s="37"/>
      <c r="H12" s="39">
        <f>SUM(H13:H15)</f>
        <v>26136.919899999997</v>
      </c>
      <c r="I12" s="40">
        <f>H12/H65</f>
        <v>0.39195252762849064</v>
      </c>
      <c r="J12" s="90"/>
      <c r="K12" s="91"/>
      <c r="L12" s="91"/>
      <c r="M12" s="92"/>
    </row>
    <row r="13" spans="1:13" ht="12.75">
      <c r="A13" s="26" t="s">
        <v>66</v>
      </c>
      <c r="B13" s="26" t="s">
        <v>117</v>
      </c>
      <c r="C13" s="26" t="s">
        <v>14</v>
      </c>
      <c r="D13" s="44" t="s">
        <v>122</v>
      </c>
      <c r="E13" s="26" t="s">
        <v>3</v>
      </c>
      <c r="F13" s="42">
        <v>155.48</v>
      </c>
      <c r="G13" s="42">
        <f>22.4*G5</f>
        <v>29.119999999999997</v>
      </c>
      <c r="H13" s="42">
        <f>F13*G13</f>
        <v>4527.5776</v>
      </c>
      <c r="I13" s="43"/>
      <c r="J13" s="97" t="s">
        <v>185</v>
      </c>
      <c r="K13" s="97"/>
      <c r="L13" s="97"/>
      <c r="M13" s="97"/>
    </row>
    <row r="14" spans="1:13" ht="51">
      <c r="A14" s="26" t="s">
        <v>66</v>
      </c>
      <c r="B14" s="26" t="s">
        <v>118</v>
      </c>
      <c r="C14" s="26" t="s">
        <v>146</v>
      </c>
      <c r="D14" s="44" t="s">
        <v>119</v>
      </c>
      <c r="E14" s="26" t="s">
        <v>3</v>
      </c>
      <c r="F14" s="42">
        <v>155.48</v>
      </c>
      <c r="G14" s="42">
        <f>87.4*G5</f>
        <v>113.62</v>
      </c>
      <c r="H14" s="42">
        <f>F14*G14</f>
        <v>17665.6376</v>
      </c>
      <c r="I14" s="43"/>
      <c r="J14" s="78" t="s">
        <v>186</v>
      </c>
      <c r="K14" s="79"/>
      <c r="L14" s="79"/>
      <c r="M14" s="80"/>
    </row>
    <row r="15" spans="1:13" ht="63.75">
      <c r="A15" s="26" t="s">
        <v>66</v>
      </c>
      <c r="B15" s="26" t="s">
        <v>120</v>
      </c>
      <c r="C15" s="26" t="s">
        <v>147</v>
      </c>
      <c r="D15" s="44" t="s">
        <v>121</v>
      </c>
      <c r="E15" s="26" t="s">
        <v>67</v>
      </c>
      <c r="F15" s="42">
        <v>165.05</v>
      </c>
      <c r="G15" s="42">
        <f>18.38*G5</f>
        <v>23.894</v>
      </c>
      <c r="H15" s="42">
        <f>F15*G15</f>
        <v>3943.7047</v>
      </c>
      <c r="I15" s="43"/>
      <c r="J15" s="78" t="s">
        <v>187</v>
      </c>
      <c r="K15" s="79"/>
      <c r="L15" s="79"/>
      <c r="M15" s="80"/>
    </row>
    <row r="16" spans="1:13" ht="12.75">
      <c r="A16" s="37"/>
      <c r="B16" s="37"/>
      <c r="C16" s="35" t="s">
        <v>24</v>
      </c>
      <c r="D16" s="36" t="s">
        <v>7</v>
      </c>
      <c r="E16" s="37"/>
      <c r="F16" s="38"/>
      <c r="G16" s="37"/>
      <c r="H16" s="39">
        <f>SUM(H17)</f>
        <v>98.26245000000002</v>
      </c>
      <c r="I16" s="40">
        <f>H16/H65</f>
        <v>0.001473556019447731</v>
      </c>
      <c r="J16" s="90"/>
      <c r="K16" s="91"/>
      <c r="L16" s="91"/>
      <c r="M16" s="92"/>
    </row>
    <row r="17" spans="1:13" ht="12.75">
      <c r="A17" s="26" t="s">
        <v>65</v>
      </c>
      <c r="B17" s="26">
        <v>96110</v>
      </c>
      <c r="C17" s="26" t="s">
        <v>15</v>
      </c>
      <c r="D17" s="41" t="s">
        <v>2</v>
      </c>
      <c r="E17" s="26" t="s">
        <v>3</v>
      </c>
      <c r="F17" s="42">
        <v>1.35</v>
      </c>
      <c r="G17" s="42">
        <f>55.99*G5</f>
        <v>72.787</v>
      </c>
      <c r="H17" s="42">
        <f>F17*G17</f>
        <v>98.26245000000002</v>
      </c>
      <c r="I17" s="43"/>
      <c r="J17" s="97" t="s">
        <v>191</v>
      </c>
      <c r="K17" s="97"/>
      <c r="L17" s="97"/>
      <c r="M17" s="97"/>
    </row>
    <row r="18" spans="1:13" ht="12.75">
      <c r="A18" s="37"/>
      <c r="B18" s="37"/>
      <c r="C18" s="35" t="s">
        <v>23</v>
      </c>
      <c r="D18" s="36" t="s">
        <v>127</v>
      </c>
      <c r="E18" s="37"/>
      <c r="F18" s="38"/>
      <c r="G18" s="38"/>
      <c r="H18" s="39">
        <f>SUM(H19:H20)</f>
        <v>2592.6186</v>
      </c>
      <c r="I18" s="40">
        <f>H18/H65</f>
        <v>0.038879233564420065</v>
      </c>
      <c r="J18" s="106"/>
      <c r="K18" s="106"/>
      <c r="L18" s="106"/>
      <c r="M18" s="106"/>
    </row>
    <row r="19" spans="1:13" ht="12.75">
      <c r="A19" s="26" t="s">
        <v>65</v>
      </c>
      <c r="B19" s="26">
        <v>87878</v>
      </c>
      <c r="C19" s="26" t="s">
        <v>16</v>
      </c>
      <c r="D19" s="41" t="s">
        <v>125</v>
      </c>
      <c r="E19" s="26" t="s">
        <v>3</v>
      </c>
      <c r="F19" s="42">
        <f>2.2+88</f>
        <v>90.2</v>
      </c>
      <c r="G19" s="42">
        <f>3.36*G5</f>
        <v>4.368</v>
      </c>
      <c r="H19" s="42">
        <f>F19*G19</f>
        <v>393.9936</v>
      </c>
      <c r="I19" s="43"/>
      <c r="J19" s="97" t="s">
        <v>190</v>
      </c>
      <c r="K19" s="97"/>
      <c r="L19" s="97"/>
      <c r="M19" s="97"/>
    </row>
    <row r="20" spans="1:13" ht="12.75">
      <c r="A20" s="26" t="s">
        <v>65</v>
      </c>
      <c r="B20" s="26">
        <v>87548</v>
      </c>
      <c r="C20" s="26" t="s">
        <v>17</v>
      </c>
      <c r="D20" s="41" t="s">
        <v>126</v>
      </c>
      <c r="E20" s="26" t="s">
        <v>3</v>
      </c>
      <c r="F20" s="42">
        <f>2.2+88</f>
        <v>90.2</v>
      </c>
      <c r="G20" s="42">
        <f>18.75*G5</f>
        <v>24.375</v>
      </c>
      <c r="H20" s="42">
        <f>F20*G20</f>
        <v>2198.625</v>
      </c>
      <c r="I20" s="43"/>
      <c r="J20" s="97" t="s">
        <v>189</v>
      </c>
      <c r="K20" s="97"/>
      <c r="L20" s="97"/>
      <c r="M20" s="97"/>
    </row>
    <row r="21" spans="1:13" ht="12.75">
      <c r="A21" s="34"/>
      <c r="B21" s="34"/>
      <c r="C21" s="35" t="s">
        <v>22</v>
      </c>
      <c r="D21" s="36" t="s">
        <v>8</v>
      </c>
      <c r="E21" s="37"/>
      <c r="F21" s="38"/>
      <c r="G21" s="37"/>
      <c r="H21" s="39">
        <f>SUM(H22:H28)</f>
        <v>20611.403150000002</v>
      </c>
      <c r="I21" s="40">
        <f>H21/H65</f>
        <v>0.3090911857067112</v>
      </c>
      <c r="J21" s="90"/>
      <c r="K21" s="91"/>
      <c r="L21" s="91"/>
      <c r="M21" s="92"/>
    </row>
    <row r="22" spans="1:13" ht="12.75">
      <c r="A22" s="26" t="s">
        <v>65</v>
      </c>
      <c r="B22" s="26">
        <v>88489</v>
      </c>
      <c r="C22" s="26" t="s">
        <v>18</v>
      </c>
      <c r="D22" s="41" t="s">
        <v>74</v>
      </c>
      <c r="E22" s="26" t="s">
        <v>3</v>
      </c>
      <c r="F22" s="42">
        <v>524.9</v>
      </c>
      <c r="G22" s="42">
        <f>12.94*G5</f>
        <v>16.822</v>
      </c>
      <c r="H22" s="42">
        <f aca="true" t="shared" si="0" ref="H22:H28">F22*G22</f>
        <v>8829.8678</v>
      </c>
      <c r="I22" s="43"/>
      <c r="J22" s="97" t="s">
        <v>77</v>
      </c>
      <c r="K22" s="97"/>
      <c r="L22" s="97"/>
      <c r="M22" s="97"/>
    </row>
    <row r="23" spans="1:13" ht="12.75">
      <c r="A23" s="26" t="s">
        <v>65</v>
      </c>
      <c r="B23" s="26">
        <v>88486</v>
      </c>
      <c r="C23" s="26" t="s">
        <v>19</v>
      </c>
      <c r="D23" s="41" t="s">
        <v>75</v>
      </c>
      <c r="E23" s="26" t="s">
        <v>3</v>
      </c>
      <c r="F23" s="42">
        <v>154.95</v>
      </c>
      <c r="G23" s="42">
        <f>11.44*G5</f>
        <v>14.872</v>
      </c>
      <c r="H23" s="42">
        <f t="shared" si="0"/>
        <v>2304.4163999999996</v>
      </c>
      <c r="I23" s="43"/>
      <c r="J23" s="97" t="s">
        <v>192</v>
      </c>
      <c r="K23" s="97"/>
      <c r="L23" s="97"/>
      <c r="M23" s="97"/>
    </row>
    <row r="24" spans="1:13" ht="12.75">
      <c r="A24" s="26" t="s">
        <v>65</v>
      </c>
      <c r="B24" s="26">
        <v>88487</v>
      </c>
      <c r="C24" s="26" t="s">
        <v>20</v>
      </c>
      <c r="D24" s="41" t="s">
        <v>76</v>
      </c>
      <c r="E24" s="26" t="s">
        <v>3</v>
      </c>
      <c r="F24" s="42">
        <v>273.75</v>
      </c>
      <c r="G24" s="42">
        <f>10.2*G5</f>
        <v>13.26</v>
      </c>
      <c r="H24" s="42">
        <f t="shared" si="0"/>
        <v>3629.9249999999997</v>
      </c>
      <c r="I24" s="43"/>
      <c r="J24" s="97" t="s">
        <v>193</v>
      </c>
      <c r="K24" s="97"/>
      <c r="L24" s="97"/>
      <c r="M24" s="97"/>
    </row>
    <row r="25" spans="1:13" ht="25.5">
      <c r="A25" s="26" t="s">
        <v>66</v>
      </c>
      <c r="B25" s="26" t="s">
        <v>200</v>
      </c>
      <c r="C25" s="26" t="s">
        <v>21</v>
      </c>
      <c r="D25" s="44" t="s">
        <v>78</v>
      </c>
      <c r="E25" s="26" t="s">
        <v>3</v>
      </c>
      <c r="F25" s="42">
        <v>149.65</v>
      </c>
      <c r="G25" s="42">
        <f>5.56*G5</f>
        <v>7.228</v>
      </c>
      <c r="H25" s="42">
        <f t="shared" si="0"/>
        <v>1081.6702</v>
      </c>
      <c r="I25" s="43"/>
      <c r="J25" s="97" t="s">
        <v>87</v>
      </c>
      <c r="K25" s="97"/>
      <c r="L25" s="97"/>
      <c r="M25" s="97"/>
    </row>
    <row r="26" spans="1:13" ht="12.75">
      <c r="A26" s="26" t="s">
        <v>65</v>
      </c>
      <c r="B26" s="26">
        <v>6082</v>
      </c>
      <c r="C26" s="26" t="s">
        <v>152</v>
      </c>
      <c r="D26" s="41" t="s">
        <v>9</v>
      </c>
      <c r="E26" s="26" t="s">
        <v>3</v>
      </c>
      <c r="F26" s="42">
        <v>79.4</v>
      </c>
      <c r="G26" s="42">
        <f>18.75*G5</f>
        <v>24.375</v>
      </c>
      <c r="H26" s="42">
        <f t="shared" si="0"/>
        <v>1935.3750000000002</v>
      </c>
      <c r="I26" s="43"/>
      <c r="J26" s="97" t="s">
        <v>89</v>
      </c>
      <c r="K26" s="97"/>
      <c r="L26" s="97"/>
      <c r="M26" s="97"/>
    </row>
    <row r="27" spans="1:13" ht="12.75">
      <c r="A27" s="26" t="s">
        <v>65</v>
      </c>
      <c r="B27" s="26">
        <v>100742</v>
      </c>
      <c r="C27" s="26" t="s">
        <v>153</v>
      </c>
      <c r="D27" s="41" t="s">
        <v>79</v>
      </c>
      <c r="E27" s="26" t="s">
        <v>3</v>
      </c>
      <c r="F27" s="42">
        <v>70.25</v>
      </c>
      <c r="G27" s="42">
        <f>20.47*G5</f>
        <v>26.611</v>
      </c>
      <c r="H27" s="42">
        <f t="shared" si="0"/>
        <v>1869.42275</v>
      </c>
      <c r="I27" s="43"/>
      <c r="J27" s="97" t="s">
        <v>88</v>
      </c>
      <c r="K27" s="97"/>
      <c r="L27" s="97"/>
      <c r="M27" s="97"/>
    </row>
    <row r="28" spans="1:13" ht="12.75">
      <c r="A28" s="26" t="s">
        <v>65</v>
      </c>
      <c r="B28" s="26" t="s">
        <v>173</v>
      </c>
      <c r="C28" s="26" t="s">
        <v>154</v>
      </c>
      <c r="D28" s="41" t="s">
        <v>174</v>
      </c>
      <c r="E28" s="26" t="s">
        <v>3</v>
      </c>
      <c r="F28" s="42">
        <v>33.9</v>
      </c>
      <c r="G28" s="42">
        <f>21.8*G5</f>
        <v>28.340000000000003</v>
      </c>
      <c r="H28" s="42">
        <f t="shared" si="0"/>
        <v>960.7260000000001</v>
      </c>
      <c r="I28" s="43"/>
      <c r="J28" s="97" t="s">
        <v>172</v>
      </c>
      <c r="K28" s="97"/>
      <c r="L28" s="97"/>
      <c r="M28" s="97"/>
    </row>
    <row r="29" spans="1:13" ht="12.75">
      <c r="A29" s="37"/>
      <c r="B29" s="37"/>
      <c r="C29" s="35" t="s">
        <v>28</v>
      </c>
      <c r="D29" s="36" t="s">
        <v>130</v>
      </c>
      <c r="E29" s="37"/>
      <c r="F29" s="38"/>
      <c r="G29" s="38"/>
      <c r="H29" s="39">
        <f>SUM(H30:H46)</f>
        <v>1920.8670000000002</v>
      </c>
      <c r="I29" s="40">
        <f>H29/H65</f>
        <v>0.02880556235274517</v>
      </c>
      <c r="J29" s="106"/>
      <c r="K29" s="106"/>
      <c r="L29" s="106"/>
      <c r="M29" s="106"/>
    </row>
    <row r="30" spans="1:13" ht="38.25">
      <c r="A30" s="26" t="s">
        <v>65</v>
      </c>
      <c r="B30" s="26">
        <v>86356</v>
      </c>
      <c r="C30" s="26" t="s">
        <v>81</v>
      </c>
      <c r="D30" s="44" t="s">
        <v>131</v>
      </c>
      <c r="E30" s="26" t="s">
        <v>67</v>
      </c>
      <c r="F30" s="42">
        <v>9</v>
      </c>
      <c r="G30" s="42">
        <f>18.02*G5</f>
        <v>23.426000000000002</v>
      </c>
      <c r="H30" s="42">
        <f>F30*G30</f>
        <v>210.834</v>
      </c>
      <c r="I30" s="43"/>
      <c r="J30" s="96"/>
      <c r="K30" s="96"/>
      <c r="L30" s="96"/>
      <c r="M30" s="96"/>
    </row>
    <row r="31" spans="1:13" ht="38.25">
      <c r="A31" s="26" t="s">
        <v>65</v>
      </c>
      <c r="B31" s="26">
        <v>89714</v>
      </c>
      <c r="C31" s="26" t="s">
        <v>201</v>
      </c>
      <c r="D31" s="44" t="s">
        <v>132</v>
      </c>
      <c r="E31" s="26" t="s">
        <v>67</v>
      </c>
      <c r="F31" s="42">
        <v>3</v>
      </c>
      <c r="G31" s="42">
        <f>45.58*G5</f>
        <v>59.254</v>
      </c>
      <c r="H31" s="42">
        <f aca="true" t="shared" si="1" ref="H31:H46">F31*G31</f>
        <v>177.762</v>
      </c>
      <c r="I31" s="43"/>
      <c r="J31" s="96"/>
      <c r="K31" s="96"/>
      <c r="L31" s="96"/>
      <c r="M31" s="96"/>
    </row>
    <row r="32" spans="1:13" ht="38.25">
      <c r="A32" s="26" t="s">
        <v>65</v>
      </c>
      <c r="B32" s="26">
        <v>89362</v>
      </c>
      <c r="C32" s="26" t="s">
        <v>155</v>
      </c>
      <c r="D32" s="44" t="s">
        <v>141</v>
      </c>
      <c r="E32" s="26" t="s">
        <v>10</v>
      </c>
      <c r="F32" s="42">
        <v>3</v>
      </c>
      <c r="G32" s="42">
        <f>7.38*G5</f>
        <v>9.594</v>
      </c>
      <c r="H32" s="42">
        <f t="shared" si="1"/>
        <v>28.781999999999996</v>
      </c>
      <c r="I32" s="43"/>
      <c r="J32" s="96"/>
      <c r="K32" s="96"/>
      <c r="L32" s="96"/>
      <c r="M32" s="96"/>
    </row>
    <row r="33" spans="1:13" ht="51">
      <c r="A33" s="26" t="s">
        <v>65</v>
      </c>
      <c r="B33" s="26">
        <v>89744</v>
      </c>
      <c r="C33" s="26" t="s">
        <v>156</v>
      </c>
      <c r="D33" s="44" t="s">
        <v>144</v>
      </c>
      <c r="E33" s="26" t="s">
        <v>10</v>
      </c>
      <c r="F33" s="42">
        <v>2</v>
      </c>
      <c r="G33" s="42">
        <f>18.86*G5</f>
        <v>24.518</v>
      </c>
      <c r="H33" s="42">
        <f t="shared" si="1"/>
        <v>49.036</v>
      </c>
      <c r="I33" s="43"/>
      <c r="J33" s="96"/>
      <c r="K33" s="96"/>
      <c r="L33" s="96"/>
      <c r="M33" s="96"/>
    </row>
    <row r="34" spans="1:13" ht="51">
      <c r="A34" s="26" t="s">
        <v>65</v>
      </c>
      <c r="B34" s="26">
        <v>89366</v>
      </c>
      <c r="C34" s="26" t="s">
        <v>157</v>
      </c>
      <c r="D34" s="44" t="s">
        <v>168</v>
      </c>
      <c r="E34" s="26" t="s">
        <v>10</v>
      </c>
      <c r="F34" s="42">
        <v>1</v>
      </c>
      <c r="G34" s="42">
        <f>12.54*G5</f>
        <v>16.302</v>
      </c>
      <c r="H34" s="42">
        <f t="shared" si="1"/>
        <v>16.302</v>
      </c>
      <c r="I34" s="43"/>
      <c r="J34" s="96"/>
      <c r="K34" s="96"/>
      <c r="L34" s="96"/>
      <c r="M34" s="96"/>
    </row>
    <row r="35" spans="1:13" ht="51">
      <c r="A35" s="26" t="s">
        <v>65</v>
      </c>
      <c r="B35" s="26">
        <v>89383</v>
      </c>
      <c r="C35" s="26" t="s">
        <v>158</v>
      </c>
      <c r="D35" s="44" t="s">
        <v>142</v>
      </c>
      <c r="E35" s="26" t="s">
        <v>10</v>
      </c>
      <c r="F35" s="42">
        <v>2</v>
      </c>
      <c r="G35" s="42">
        <f>5.5*G5</f>
        <v>7.15</v>
      </c>
      <c r="H35" s="42">
        <f t="shared" si="1"/>
        <v>14.3</v>
      </c>
      <c r="I35" s="43"/>
      <c r="J35" s="96"/>
      <c r="K35" s="96"/>
      <c r="L35" s="96"/>
      <c r="M35" s="96"/>
    </row>
    <row r="36" spans="1:13" ht="51">
      <c r="A36" s="26" t="s">
        <v>65</v>
      </c>
      <c r="B36" s="26">
        <v>89972</v>
      </c>
      <c r="C36" s="26" t="s">
        <v>159</v>
      </c>
      <c r="D36" s="44" t="s">
        <v>143</v>
      </c>
      <c r="E36" s="26" t="s">
        <v>10</v>
      </c>
      <c r="F36" s="42">
        <v>1</v>
      </c>
      <c r="G36" s="42">
        <f>39.48*G5</f>
        <v>51.324</v>
      </c>
      <c r="H36" s="42">
        <f t="shared" si="1"/>
        <v>51.324</v>
      </c>
      <c r="I36" s="43"/>
      <c r="J36" s="96"/>
      <c r="K36" s="96"/>
      <c r="L36" s="96"/>
      <c r="M36" s="96"/>
    </row>
    <row r="37" spans="1:13" ht="25.5">
      <c r="A37" s="26" t="s">
        <v>65</v>
      </c>
      <c r="B37" s="26">
        <v>86888</v>
      </c>
      <c r="C37" s="26" t="s">
        <v>160</v>
      </c>
      <c r="D37" s="44" t="s">
        <v>133</v>
      </c>
      <c r="E37" s="26" t="s">
        <v>10</v>
      </c>
      <c r="F37" s="42">
        <v>1</v>
      </c>
      <c r="G37" s="42">
        <f>356.3*G5</f>
        <v>463.19000000000005</v>
      </c>
      <c r="H37" s="42">
        <f t="shared" si="1"/>
        <v>463.19000000000005</v>
      </c>
      <c r="I37" s="43"/>
      <c r="J37" s="96"/>
      <c r="K37" s="96"/>
      <c r="L37" s="96"/>
      <c r="M37" s="96"/>
    </row>
    <row r="38" spans="1:13" ht="38.25">
      <c r="A38" s="26" t="s">
        <v>65</v>
      </c>
      <c r="B38" s="26">
        <v>86902</v>
      </c>
      <c r="C38" s="26" t="s">
        <v>161</v>
      </c>
      <c r="D38" s="44" t="s">
        <v>139</v>
      </c>
      <c r="E38" s="26" t="s">
        <v>10</v>
      </c>
      <c r="F38" s="42">
        <v>1</v>
      </c>
      <c r="G38" s="42">
        <f>213.73*G5</f>
        <v>277.849</v>
      </c>
      <c r="H38" s="42">
        <f t="shared" si="1"/>
        <v>277.849</v>
      </c>
      <c r="I38" s="43"/>
      <c r="J38" s="96"/>
      <c r="K38" s="96"/>
      <c r="L38" s="96"/>
      <c r="M38" s="96"/>
    </row>
    <row r="39" spans="1:13" ht="38.25">
      <c r="A39" s="26" t="s">
        <v>65</v>
      </c>
      <c r="B39" s="26">
        <v>86906</v>
      </c>
      <c r="C39" s="26" t="s">
        <v>162</v>
      </c>
      <c r="D39" s="44" t="s">
        <v>140</v>
      </c>
      <c r="E39" s="26" t="s">
        <v>10</v>
      </c>
      <c r="F39" s="42">
        <v>1</v>
      </c>
      <c r="G39" s="42">
        <f>47.82*G5</f>
        <v>62.166000000000004</v>
      </c>
      <c r="H39" s="42">
        <f t="shared" si="1"/>
        <v>62.166000000000004</v>
      </c>
      <c r="I39" s="43"/>
      <c r="J39" s="96"/>
      <c r="K39" s="96"/>
      <c r="L39" s="96"/>
      <c r="M39" s="96"/>
    </row>
    <row r="40" spans="1:13" ht="12.75">
      <c r="A40" s="26" t="s">
        <v>66</v>
      </c>
      <c r="B40" s="26" t="s">
        <v>196</v>
      </c>
      <c r="C40" s="26" t="s">
        <v>163</v>
      </c>
      <c r="D40" s="44" t="s">
        <v>197</v>
      </c>
      <c r="E40" s="26" t="s">
        <v>10</v>
      </c>
      <c r="F40" s="42">
        <v>1</v>
      </c>
      <c r="G40" s="42">
        <f>10.2*G5</f>
        <v>13.26</v>
      </c>
      <c r="H40" s="42">
        <f t="shared" si="1"/>
        <v>13.26</v>
      </c>
      <c r="I40" s="43"/>
      <c r="J40" s="103"/>
      <c r="K40" s="104"/>
      <c r="L40" s="104"/>
      <c r="M40" s="105"/>
    </row>
    <row r="41" spans="1:13" ht="12.75">
      <c r="A41" s="26" t="s">
        <v>66</v>
      </c>
      <c r="B41" s="26" t="s">
        <v>198</v>
      </c>
      <c r="C41" s="26" t="s">
        <v>164</v>
      </c>
      <c r="D41" s="44" t="s">
        <v>199</v>
      </c>
      <c r="E41" s="26" t="s">
        <v>10</v>
      </c>
      <c r="F41" s="42">
        <v>1</v>
      </c>
      <c r="G41" s="42">
        <f>32.19*G5</f>
        <v>41.847</v>
      </c>
      <c r="H41" s="42">
        <f t="shared" si="1"/>
        <v>41.847</v>
      </c>
      <c r="I41" s="43"/>
      <c r="J41" s="103"/>
      <c r="K41" s="104"/>
      <c r="L41" s="104"/>
      <c r="M41" s="105"/>
    </row>
    <row r="42" spans="1:13" ht="25.5">
      <c r="A42" s="26" t="s">
        <v>65</v>
      </c>
      <c r="B42" s="26">
        <v>86885</v>
      </c>
      <c r="C42" s="26" t="s">
        <v>165</v>
      </c>
      <c r="D42" s="44" t="s">
        <v>134</v>
      </c>
      <c r="E42" s="26" t="s">
        <v>10</v>
      </c>
      <c r="F42" s="42">
        <v>2</v>
      </c>
      <c r="G42" s="42">
        <f>11.84*G5</f>
        <v>15.392</v>
      </c>
      <c r="H42" s="42">
        <f t="shared" si="1"/>
        <v>30.784</v>
      </c>
      <c r="I42" s="43"/>
      <c r="J42" s="96"/>
      <c r="K42" s="96"/>
      <c r="L42" s="96"/>
      <c r="M42" s="96"/>
    </row>
    <row r="43" spans="1:13" ht="25.5">
      <c r="A43" s="26" t="s">
        <v>65</v>
      </c>
      <c r="B43" s="26">
        <v>86883</v>
      </c>
      <c r="C43" s="26" t="s">
        <v>166</v>
      </c>
      <c r="D43" s="44" t="s">
        <v>135</v>
      </c>
      <c r="E43" s="26" t="s">
        <v>10</v>
      </c>
      <c r="F43" s="42">
        <v>1</v>
      </c>
      <c r="G43" s="42">
        <f>11.42*G5</f>
        <v>14.846</v>
      </c>
      <c r="H43" s="42">
        <f t="shared" si="1"/>
        <v>14.846</v>
      </c>
      <c r="I43" s="43"/>
      <c r="J43" s="96"/>
      <c r="K43" s="96"/>
      <c r="L43" s="96"/>
      <c r="M43" s="96"/>
    </row>
    <row r="44" spans="1:13" ht="38.25">
      <c r="A44" s="26" t="s">
        <v>65</v>
      </c>
      <c r="B44" s="26">
        <v>86879</v>
      </c>
      <c r="C44" s="26" t="s">
        <v>167</v>
      </c>
      <c r="D44" s="44" t="s">
        <v>136</v>
      </c>
      <c r="E44" s="26" t="s">
        <v>10</v>
      </c>
      <c r="F44" s="42">
        <v>1</v>
      </c>
      <c r="G44" s="42">
        <f>6.76*G5</f>
        <v>8.788</v>
      </c>
      <c r="H44" s="42">
        <f t="shared" si="1"/>
        <v>8.788</v>
      </c>
      <c r="I44" s="43"/>
      <c r="J44" s="96"/>
      <c r="K44" s="96"/>
      <c r="L44" s="96"/>
      <c r="M44" s="96"/>
    </row>
    <row r="45" spans="1:13" ht="38.25">
      <c r="A45" s="26" t="s">
        <v>65</v>
      </c>
      <c r="B45" s="26">
        <v>89707</v>
      </c>
      <c r="C45" s="26" t="s">
        <v>169</v>
      </c>
      <c r="D45" s="44" t="s">
        <v>137</v>
      </c>
      <c r="E45" s="26" t="s">
        <v>10</v>
      </c>
      <c r="F45" s="42">
        <v>1</v>
      </c>
      <c r="G45" s="42">
        <f>25.19*G5</f>
        <v>32.747</v>
      </c>
      <c r="H45" s="42">
        <f t="shared" si="1"/>
        <v>32.747</v>
      </c>
      <c r="I45" s="43"/>
      <c r="J45" s="96"/>
      <c r="K45" s="96"/>
      <c r="L45" s="96"/>
      <c r="M45" s="96"/>
    </row>
    <row r="46" spans="1:13" ht="51">
      <c r="A46" s="26" t="s">
        <v>65</v>
      </c>
      <c r="B46" s="26">
        <v>99260</v>
      </c>
      <c r="C46" s="26" t="s">
        <v>202</v>
      </c>
      <c r="D46" s="44" t="s">
        <v>138</v>
      </c>
      <c r="E46" s="26" t="s">
        <v>10</v>
      </c>
      <c r="F46" s="42">
        <v>1</v>
      </c>
      <c r="G46" s="42">
        <f>328.5*G5</f>
        <v>427.05</v>
      </c>
      <c r="H46" s="42">
        <f t="shared" si="1"/>
        <v>427.05</v>
      </c>
      <c r="I46" s="43"/>
      <c r="J46" s="96"/>
      <c r="K46" s="96"/>
      <c r="L46" s="96"/>
      <c r="M46" s="96"/>
    </row>
    <row r="47" spans="1:13" ht="25.5">
      <c r="A47" s="37"/>
      <c r="B47" s="45"/>
      <c r="C47" s="35" t="s">
        <v>68</v>
      </c>
      <c r="D47" s="46" t="s">
        <v>73</v>
      </c>
      <c r="E47" s="37"/>
      <c r="F47" s="38"/>
      <c r="G47" s="38"/>
      <c r="H47" s="39">
        <f>H48+H49+H50</f>
        <v>672.581</v>
      </c>
      <c r="I47" s="40">
        <f>H47/H65</f>
        <v>0.01008610899805749</v>
      </c>
      <c r="J47" s="93"/>
      <c r="K47" s="94"/>
      <c r="L47" s="94"/>
      <c r="M47" s="95"/>
    </row>
    <row r="48" spans="1:13" ht="12.75">
      <c r="A48" s="26" t="s">
        <v>66</v>
      </c>
      <c r="B48" s="27" t="s">
        <v>69</v>
      </c>
      <c r="C48" s="26" t="s">
        <v>80</v>
      </c>
      <c r="D48" s="44" t="s">
        <v>72</v>
      </c>
      <c r="E48" s="26" t="s">
        <v>10</v>
      </c>
      <c r="F48" s="42">
        <v>7</v>
      </c>
      <c r="G48" s="42">
        <f>15.51*G5</f>
        <v>20.163</v>
      </c>
      <c r="H48" s="42">
        <f>F48*G48</f>
        <v>141.141</v>
      </c>
      <c r="I48" s="47"/>
      <c r="J48" s="96"/>
      <c r="K48" s="96"/>
      <c r="L48" s="96"/>
      <c r="M48" s="96"/>
    </row>
    <row r="49" spans="1:13" ht="25.5">
      <c r="A49" s="26" t="s">
        <v>66</v>
      </c>
      <c r="B49" s="27" t="s">
        <v>70</v>
      </c>
      <c r="C49" s="26" t="s">
        <v>82</v>
      </c>
      <c r="D49" s="44" t="s">
        <v>86</v>
      </c>
      <c r="E49" s="26" t="s">
        <v>67</v>
      </c>
      <c r="F49" s="42">
        <v>70</v>
      </c>
      <c r="G49" s="42">
        <f>1.19*G5</f>
        <v>1.547</v>
      </c>
      <c r="H49" s="42">
        <f aca="true" t="shared" si="2" ref="H49:H62">F49*G49</f>
        <v>108.28999999999999</v>
      </c>
      <c r="I49" s="47"/>
      <c r="J49" s="96"/>
      <c r="K49" s="96"/>
      <c r="L49" s="96"/>
      <c r="M49" s="96"/>
    </row>
    <row r="50" spans="1:13" ht="25.5">
      <c r="A50" s="26" t="s">
        <v>66</v>
      </c>
      <c r="B50" s="27" t="s">
        <v>71</v>
      </c>
      <c r="C50" s="26" t="s">
        <v>83</v>
      </c>
      <c r="D50" s="44" t="s">
        <v>85</v>
      </c>
      <c r="E50" s="26" t="s">
        <v>67</v>
      </c>
      <c r="F50" s="42">
        <v>35</v>
      </c>
      <c r="G50" s="42">
        <f>9.3*G5</f>
        <v>12.090000000000002</v>
      </c>
      <c r="H50" s="42">
        <f t="shared" si="2"/>
        <v>423.15000000000003</v>
      </c>
      <c r="I50" s="47"/>
      <c r="J50" s="96"/>
      <c r="K50" s="96"/>
      <c r="L50" s="96"/>
      <c r="M50" s="96"/>
    </row>
    <row r="51" spans="1:13" ht="25.5">
      <c r="A51" s="37"/>
      <c r="B51" s="45"/>
      <c r="C51" s="35" t="s">
        <v>84</v>
      </c>
      <c r="D51" s="46" t="s">
        <v>105</v>
      </c>
      <c r="E51" s="37"/>
      <c r="F51" s="38"/>
      <c r="G51" s="38"/>
      <c r="H51" s="39">
        <f>H52:H52</f>
        <v>53.36604</v>
      </c>
      <c r="I51" s="40">
        <f>H51/H65</f>
        <v>0.0008002838263862582</v>
      </c>
      <c r="J51" s="98"/>
      <c r="K51" s="98"/>
      <c r="L51" s="98"/>
      <c r="M51" s="98"/>
    </row>
    <row r="52" spans="1:13" ht="12.75">
      <c r="A52" s="26" t="s">
        <v>66</v>
      </c>
      <c r="B52" s="27" t="s">
        <v>107</v>
      </c>
      <c r="C52" s="26" t="s">
        <v>203</v>
      </c>
      <c r="D52" s="44" t="s">
        <v>106</v>
      </c>
      <c r="E52" s="26" t="s">
        <v>3</v>
      </c>
      <c r="F52" s="42">
        <v>1.89</v>
      </c>
      <c r="G52" s="42">
        <f>21.72*G5</f>
        <v>28.236</v>
      </c>
      <c r="H52" s="42">
        <f t="shared" si="2"/>
        <v>53.36604</v>
      </c>
      <c r="I52" s="48"/>
      <c r="J52" s="102"/>
      <c r="K52" s="102"/>
      <c r="L52" s="102"/>
      <c r="M52" s="102"/>
    </row>
    <row r="53" spans="1:13" ht="25.5">
      <c r="A53" s="37"/>
      <c r="B53" s="45"/>
      <c r="C53" s="35" t="s">
        <v>148</v>
      </c>
      <c r="D53" s="46" t="s">
        <v>108</v>
      </c>
      <c r="E53" s="37"/>
      <c r="F53" s="38"/>
      <c r="G53" s="38"/>
      <c r="H53" s="39">
        <f>H54</f>
        <v>469.63072000000005</v>
      </c>
      <c r="I53" s="40">
        <f>H53/H65</f>
        <v>0.007042641155126621</v>
      </c>
      <c r="J53" s="98"/>
      <c r="K53" s="98"/>
      <c r="L53" s="98"/>
      <c r="M53" s="98"/>
    </row>
    <row r="54" spans="1:13" ht="12.75">
      <c r="A54" s="26" t="s">
        <v>66</v>
      </c>
      <c r="B54" s="27" t="s">
        <v>110</v>
      </c>
      <c r="C54" s="26" t="s">
        <v>204</v>
      </c>
      <c r="D54" s="44" t="s">
        <v>109</v>
      </c>
      <c r="E54" s="26" t="s">
        <v>3</v>
      </c>
      <c r="F54" s="42">
        <v>8.32</v>
      </c>
      <c r="G54" s="42">
        <f>43.42*G5</f>
        <v>56.446000000000005</v>
      </c>
      <c r="H54" s="42">
        <f t="shared" si="2"/>
        <v>469.63072000000005</v>
      </c>
      <c r="I54" s="48"/>
      <c r="J54" s="102"/>
      <c r="K54" s="102"/>
      <c r="L54" s="102"/>
      <c r="M54" s="102"/>
    </row>
    <row r="55" spans="1:13" ht="12.75">
      <c r="A55" s="37"/>
      <c r="B55" s="45"/>
      <c r="C55" s="35" t="s">
        <v>149</v>
      </c>
      <c r="D55" s="46" t="s">
        <v>111</v>
      </c>
      <c r="E55" s="37"/>
      <c r="F55" s="38"/>
      <c r="G55" s="38"/>
      <c r="H55" s="39">
        <f>H56</f>
        <v>1173.0478500000002</v>
      </c>
      <c r="I55" s="40">
        <f>H55/H65</f>
        <v>0.017591172624616208</v>
      </c>
      <c r="J55" s="98"/>
      <c r="K55" s="98"/>
      <c r="L55" s="98"/>
      <c r="M55" s="98"/>
    </row>
    <row r="56" spans="1:13" ht="25.5">
      <c r="A56" s="26" t="s">
        <v>66</v>
      </c>
      <c r="B56" s="27" t="s">
        <v>113</v>
      </c>
      <c r="C56" s="26" t="s">
        <v>205</v>
      </c>
      <c r="D56" s="44" t="s">
        <v>112</v>
      </c>
      <c r="E56" s="26" t="s">
        <v>3</v>
      </c>
      <c r="F56" s="42">
        <v>107.55</v>
      </c>
      <c r="G56" s="42">
        <f>8.39*G5</f>
        <v>10.907000000000002</v>
      </c>
      <c r="H56" s="42">
        <f t="shared" si="2"/>
        <v>1173.0478500000002</v>
      </c>
      <c r="I56" s="48"/>
      <c r="J56" s="99" t="s">
        <v>194</v>
      </c>
      <c r="K56" s="100"/>
      <c r="L56" s="100"/>
      <c r="M56" s="101"/>
    </row>
    <row r="57" spans="1:13" ht="12.75">
      <c r="A57" s="37"/>
      <c r="B57" s="34"/>
      <c r="C57" s="35" t="s">
        <v>150</v>
      </c>
      <c r="D57" s="36" t="s">
        <v>104</v>
      </c>
      <c r="E57" s="37"/>
      <c r="F57" s="37"/>
      <c r="G57" s="49"/>
      <c r="H57" s="39">
        <f>H58:H58</f>
        <v>2176.6201600000004</v>
      </c>
      <c r="I57" s="40">
        <f>H57/H65</f>
        <v>0.03264086880409845</v>
      </c>
      <c r="J57" s="98"/>
      <c r="K57" s="98"/>
      <c r="L57" s="98"/>
      <c r="M57" s="98"/>
    </row>
    <row r="58" spans="1:13" ht="25.5">
      <c r="A58" s="26" t="s">
        <v>66</v>
      </c>
      <c r="B58" s="26" t="s">
        <v>115</v>
      </c>
      <c r="C58" s="26" t="s">
        <v>206</v>
      </c>
      <c r="D58" s="44" t="s">
        <v>114</v>
      </c>
      <c r="E58" s="26" t="s">
        <v>103</v>
      </c>
      <c r="F58" s="26">
        <v>29.92</v>
      </c>
      <c r="G58" s="42">
        <f>55.96*G5</f>
        <v>72.748</v>
      </c>
      <c r="H58" s="42">
        <f t="shared" si="2"/>
        <v>2176.6201600000004</v>
      </c>
      <c r="I58" s="48"/>
      <c r="J58" s="81" t="s">
        <v>195</v>
      </c>
      <c r="K58" s="82"/>
      <c r="L58" s="82"/>
      <c r="M58" s="83"/>
    </row>
    <row r="59" spans="1:13" ht="12.75">
      <c r="A59" s="37"/>
      <c r="B59" s="37"/>
      <c r="C59" s="35" t="s">
        <v>151</v>
      </c>
      <c r="D59" s="46" t="s">
        <v>171</v>
      </c>
      <c r="E59" s="37"/>
      <c r="F59" s="37"/>
      <c r="G59" s="38"/>
      <c r="H59" s="38">
        <f t="shared" si="2"/>
        <v>0</v>
      </c>
      <c r="I59" s="34"/>
      <c r="J59" s="98"/>
      <c r="K59" s="98"/>
      <c r="L59" s="98"/>
      <c r="M59" s="98"/>
    </row>
    <row r="60" spans="1:13" ht="25.5">
      <c r="A60" s="26" t="s">
        <v>65</v>
      </c>
      <c r="B60" s="26">
        <v>99814</v>
      </c>
      <c r="C60" s="26" t="s">
        <v>207</v>
      </c>
      <c r="D60" s="44" t="s">
        <v>170</v>
      </c>
      <c r="E60" s="26" t="s">
        <v>3</v>
      </c>
      <c r="F60" s="50">
        <v>241.2</v>
      </c>
      <c r="G60" s="42">
        <f>1.61*G5</f>
        <v>2.0930000000000004</v>
      </c>
      <c r="H60" s="42">
        <f t="shared" si="2"/>
        <v>504.8316000000001</v>
      </c>
      <c r="I60" s="48"/>
      <c r="J60" s="81" t="s">
        <v>184</v>
      </c>
      <c r="K60" s="82"/>
      <c r="L60" s="82"/>
      <c r="M60" s="83"/>
    </row>
    <row r="61" spans="1:13" ht="12.75">
      <c r="A61" s="37"/>
      <c r="B61" s="37"/>
      <c r="C61" s="35" t="s">
        <v>177</v>
      </c>
      <c r="D61" s="46" t="s">
        <v>175</v>
      </c>
      <c r="E61" s="37"/>
      <c r="F61" s="37"/>
      <c r="G61" s="38"/>
      <c r="H61" s="39">
        <f>H62</f>
        <v>2266.576</v>
      </c>
      <c r="I61" s="40">
        <f>H61/H65</f>
        <v>0.033989857858579345</v>
      </c>
      <c r="J61" s="84"/>
      <c r="K61" s="85"/>
      <c r="L61" s="85"/>
      <c r="M61" s="86"/>
    </row>
    <row r="62" spans="1:13" ht="38.25">
      <c r="A62" s="26" t="s">
        <v>65</v>
      </c>
      <c r="B62" s="26">
        <v>94229</v>
      </c>
      <c r="C62" s="26" t="s">
        <v>208</v>
      </c>
      <c r="D62" s="44" t="s">
        <v>176</v>
      </c>
      <c r="E62" s="26" t="s">
        <v>67</v>
      </c>
      <c r="F62" s="50">
        <v>16</v>
      </c>
      <c r="G62" s="42">
        <f>108.97*G5</f>
        <v>141.661</v>
      </c>
      <c r="H62" s="42">
        <f t="shared" si="2"/>
        <v>2266.576</v>
      </c>
      <c r="I62" s="48"/>
      <c r="J62" s="81" t="s">
        <v>182</v>
      </c>
      <c r="K62" s="82"/>
      <c r="L62" s="82"/>
      <c r="M62" s="83"/>
    </row>
    <row r="63" spans="1:13" ht="25.5">
      <c r="A63" s="35"/>
      <c r="B63" s="35"/>
      <c r="C63" s="35" t="s">
        <v>180</v>
      </c>
      <c r="D63" s="46" t="s">
        <v>179</v>
      </c>
      <c r="E63" s="35"/>
      <c r="F63" s="35"/>
      <c r="G63" s="39"/>
      <c r="H63" s="39">
        <f>H64</f>
        <v>2141.6538</v>
      </c>
      <c r="I63" s="40">
        <f>H63/H65</f>
        <v>0.032116508885775864</v>
      </c>
      <c r="J63" s="87"/>
      <c r="K63" s="88"/>
      <c r="L63" s="88"/>
      <c r="M63" s="89"/>
    </row>
    <row r="64" spans="1:13" ht="38.25">
      <c r="A64" s="26" t="s">
        <v>65</v>
      </c>
      <c r="B64" s="26">
        <v>98554</v>
      </c>
      <c r="C64" s="26" t="s">
        <v>209</v>
      </c>
      <c r="D64" s="44" t="s">
        <v>178</v>
      </c>
      <c r="E64" s="26" t="s">
        <v>3</v>
      </c>
      <c r="F64" s="50">
        <v>45.8</v>
      </c>
      <c r="G64" s="42">
        <f>35.97*G5</f>
        <v>46.761</v>
      </c>
      <c r="H64" s="42">
        <f>F64*G64</f>
        <v>2141.6538</v>
      </c>
      <c r="I64" s="51"/>
      <c r="J64" s="81" t="s">
        <v>183</v>
      </c>
      <c r="K64" s="82"/>
      <c r="L64" s="82"/>
      <c r="M64" s="83"/>
    </row>
    <row r="65" spans="1:13" ht="12.75">
      <c r="A65" s="34"/>
      <c r="B65" s="34"/>
      <c r="C65" s="35" t="s">
        <v>181</v>
      </c>
      <c r="D65" s="36" t="s">
        <v>29</v>
      </c>
      <c r="E65" s="34"/>
      <c r="F65" s="34"/>
      <c r="G65" s="34"/>
      <c r="H65" s="39">
        <f>H6+H9+H12+H16+H18+H21+H29+H47+H51+H53+H55+H57+H61+H63</f>
        <v>66683.89168999999</v>
      </c>
      <c r="I65" s="52">
        <f>H65/H65</f>
        <v>1</v>
      </c>
      <c r="J65" s="116"/>
      <c r="K65" s="117"/>
      <c r="L65" s="117"/>
      <c r="M65" s="118"/>
    </row>
    <row r="66" spans="1:13" ht="12.75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5"/>
    </row>
    <row r="67" spans="1:13" ht="12.75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2"/>
    </row>
    <row r="68" spans="1:13" ht="12.75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2"/>
    </row>
    <row r="69" spans="1:13" ht="12.75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2"/>
    </row>
    <row r="70" spans="1:13" ht="12.75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2"/>
    </row>
    <row r="71" spans="1:13" ht="12.75">
      <c r="A71" s="110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2"/>
    </row>
    <row r="72" spans="1:13" ht="12.75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9"/>
    </row>
    <row r="73" spans="1:13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5"/>
    </row>
    <row r="74" spans="1:13" ht="12.75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/>
    </row>
    <row r="75" spans="1:13" ht="12.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1"/>
    </row>
  </sheetData>
  <sheetProtection/>
  <mergeCells count="73">
    <mergeCell ref="A1:M1"/>
    <mergeCell ref="A2:M2"/>
    <mergeCell ref="A3:M3"/>
    <mergeCell ref="J25:M25"/>
    <mergeCell ref="C5:D5"/>
    <mergeCell ref="J4:M4"/>
    <mergeCell ref="J7:M7"/>
    <mergeCell ref="J10:M10"/>
    <mergeCell ref="J13:M13"/>
    <mergeCell ref="J17:M17"/>
    <mergeCell ref="J22:M22"/>
    <mergeCell ref="J23:M23"/>
    <mergeCell ref="J24:M24"/>
    <mergeCell ref="J8:M8"/>
    <mergeCell ref="J19:M19"/>
    <mergeCell ref="J20:M20"/>
    <mergeCell ref="A72:M72"/>
    <mergeCell ref="J48:M48"/>
    <mergeCell ref="J49:M49"/>
    <mergeCell ref="J50:M50"/>
    <mergeCell ref="A67:M67"/>
    <mergeCell ref="A68:M68"/>
    <mergeCell ref="A69:M69"/>
    <mergeCell ref="A70:M70"/>
    <mergeCell ref="A71:M71"/>
    <mergeCell ref="A66:M66"/>
    <mergeCell ref="J57:M57"/>
    <mergeCell ref="J58:M58"/>
    <mergeCell ref="J65:M65"/>
    <mergeCell ref="J51:M51"/>
    <mergeCell ref="J53:M53"/>
    <mergeCell ref="J55:M55"/>
    <mergeCell ref="J11:M11"/>
    <mergeCell ref="J26:M26"/>
    <mergeCell ref="J27:M27"/>
    <mergeCell ref="J18:M18"/>
    <mergeCell ref="J29:M29"/>
    <mergeCell ref="J30:M30"/>
    <mergeCell ref="J31:M31"/>
    <mergeCell ref="J32:M32"/>
    <mergeCell ref="J33:M33"/>
    <mergeCell ref="J35:M35"/>
    <mergeCell ref="J36:M36"/>
    <mergeCell ref="J40:M40"/>
    <mergeCell ref="J41:M41"/>
    <mergeCell ref="J37:M37"/>
    <mergeCell ref="J38:M38"/>
    <mergeCell ref="J39:M39"/>
    <mergeCell ref="J42:M42"/>
    <mergeCell ref="J43:M43"/>
    <mergeCell ref="J62:M62"/>
    <mergeCell ref="J44:M44"/>
    <mergeCell ref="J45:M45"/>
    <mergeCell ref="J46:M46"/>
    <mergeCell ref="J56:M56"/>
    <mergeCell ref="J54:M54"/>
    <mergeCell ref="J52:M52"/>
    <mergeCell ref="J5:M5"/>
    <mergeCell ref="J14:M14"/>
    <mergeCell ref="J15:M15"/>
    <mergeCell ref="J64:M64"/>
    <mergeCell ref="J61:M61"/>
    <mergeCell ref="J63:M63"/>
    <mergeCell ref="J6:M6"/>
    <mergeCell ref="J9:M9"/>
    <mergeCell ref="J12:M12"/>
    <mergeCell ref="J16:M16"/>
    <mergeCell ref="J21:M21"/>
    <mergeCell ref="J47:M47"/>
    <mergeCell ref="J34:M34"/>
    <mergeCell ref="J28:M28"/>
    <mergeCell ref="J59:M59"/>
    <mergeCell ref="J60:M60"/>
  </mergeCells>
  <printOptions/>
  <pageMargins left="0.5118110236220472" right="0.5118110236220472" top="0.7874015748031497" bottom="0.7874015748031497" header="0.31496062992125984" footer="0.31496062992125984"/>
  <pageSetup fitToHeight="2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70" zoomScalePageLayoutView="0" workbookViewId="0" topLeftCell="A1">
      <selection activeCell="B10" sqref="B10"/>
    </sheetView>
  </sheetViews>
  <sheetFormatPr defaultColWidth="9.140625" defaultRowHeight="15"/>
  <cols>
    <col min="1" max="1" width="5.28125" style="25" bestFit="1" customWidth="1"/>
    <col min="2" max="2" width="59.00390625" style="25" bestFit="1" customWidth="1"/>
    <col min="3" max="10" width="11.57421875" style="25" bestFit="1" customWidth="1"/>
    <col min="11" max="16384" width="9.140625" style="25" customWidth="1"/>
  </cols>
  <sheetData>
    <row r="1" spans="1:10" ht="24.75" customHeight="1">
      <c r="A1" s="128" t="s">
        <v>101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2" ht="24.75" customHeight="1">
      <c r="A2" s="123" t="s">
        <v>102</v>
      </c>
      <c r="B2" s="123"/>
    </row>
    <row r="3" spans="1:10" ht="47.25" customHeight="1">
      <c r="A3" s="26" t="s">
        <v>30</v>
      </c>
      <c r="B3" s="62" t="s">
        <v>31</v>
      </c>
      <c r="C3" s="130" t="s">
        <v>91</v>
      </c>
      <c r="D3" s="131"/>
      <c r="E3" s="131"/>
      <c r="F3" s="132"/>
      <c r="G3" s="133" t="s">
        <v>92</v>
      </c>
      <c r="H3" s="134"/>
      <c r="I3" s="134"/>
      <c r="J3" s="135"/>
    </row>
    <row r="4" spans="1:10" ht="12.75">
      <c r="A4" s="129"/>
      <c r="B4" s="129"/>
      <c r="C4" s="63" t="s">
        <v>93</v>
      </c>
      <c r="D4" s="26" t="s">
        <v>94</v>
      </c>
      <c r="E4" s="26" t="s">
        <v>95</v>
      </c>
      <c r="F4" s="64" t="s">
        <v>96</v>
      </c>
      <c r="G4" s="63" t="s">
        <v>97</v>
      </c>
      <c r="H4" s="26" t="s">
        <v>98</v>
      </c>
      <c r="I4" s="26" t="s">
        <v>99</v>
      </c>
      <c r="J4" s="64" t="s">
        <v>100</v>
      </c>
    </row>
    <row r="5" spans="1:10" ht="24.75" customHeight="1">
      <c r="A5" s="65" t="s">
        <v>11</v>
      </c>
      <c r="B5" s="66" t="s">
        <v>1</v>
      </c>
      <c r="C5" s="67"/>
      <c r="D5" s="68"/>
      <c r="E5" s="69"/>
      <c r="F5" s="70"/>
      <c r="G5" s="67"/>
      <c r="H5" s="68"/>
      <c r="I5" s="68"/>
      <c r="J5" s="70"/>
    </row>
    <row r="6" spans="1:10" ht="24.75" customHeight="1">
      <c r="A6" s="65" t="s">
        <v>26</v>
      </c>
      <c r="B6" s="66" t="s">
        <v>4</v>
      </c>
      <c r="C6" s="71"/>
      <c r="D6" s="51"/>
      <c r="E6" s="51"/>
      <c r="F6" s="72"/>
      <c r="G6" s="71"/>
      <c r="H6" s="69"/>
      <c r="I6" s="51"/>
      <c r="J6" s="72"/>
    </row>
    <row r="7" spans="1:10" ht="24.75" customHeight="1">
      <c r="A7" s="65" t="s">
        <v>25</v>
      </c>
      <c r="B7" s="66" t="s">
        <v>116</v>
      </c>
      <c r="C7" s="71"/>
      <c r="D7" s="51"/>
      <c r="E7" s="51"/>
      <c r="F7" s="73"/>
      <c r="G7" s="74"/>
      <c r="H7" s="51"/>
      <c r="I7" s="51"/>
      <c r="J7" s="72"/>
    </row>
    <row r="8" spans="1:10" ht="24.75" customHeight="1">
      <c r="A8" s="65" t="s">
        <v>24</v>
      </c>
      <c r="B8" s="66" t="s">
        <v>7</v>
      </c>
      <c r="C8" s="71"/>
      <c r="D8" s="51"/>
      <c r="E8" s="69"/>
      <c r="F8" s="73"/>
      <c r="G8" s="71"/>
      <c r="H8" s="51"/>
      <c r="I8" s="51"/>
      <c r="J8" s="72"/>
    </row>
    <row r="9" spans="1:10" ht="24.75" customHeight="1">
      <c r="A9" s="65" t="s">
        <v>23</v>
      </c>
      <c r="B9" s="66" t="s">
        <v>127</v>
      </c>
      <c r="C9" s="71"/>
      <c r="D9" s="51"/>
      <c r="E9" s="51"/>
      <c r="F9" s="72"/>
      <c r="G9" s="74"/>
      <c r="H9" s="69"/>
      <c r="I9" s="51"/>
      <c r="J9" s="72"/>
    </row>
    <row r="10" spans="1:10" ht="24.75" customHeight="1">
      <c r="A10" s="65" t="s">
        <v>22</v>
      </c>
      <c r="B10" s="66" t="s">
        <v>8</v>
      </c>
      <c r="C10" s="71"/>
      <c r="D10" s="51"/>
      <c r="E10" s="51"/>
      <c r="F10" s="72"/>
      <c r="G10" s="71"/>
      <c r="H10" s="51"/>
      <c r="I10" s="69"/>
      <c r="J10" s="73"/>
    </row>
    <row r="11" spans="1:10" ht="24.75" customHeight="1">
      <c r="A11" s="65" t="s">
        <v>28</v>
      </c>
      <c r="B11" s="66" t="s">
        <v>130</v>
      </c>
      <c r="C11" s="71"/>
      <c r="D11" s="51"/>
      <c r="E11" s="69"/>
      <c r="F11" s="72"/>
      <c r="G11" s="71"/>
      <c r="H11" s="51"/>
      <c r="I11" s="51"/>
      <c r="J11" s="72"/>
    </row>
    <row r="12" spans="1:10" ht="24.75" customHeight="1">
      <c r="A12" s="65" t="s">
        <v>68</v>
      </c>
      <c r="B12" s="75" t="s">
        <v>73</v>
      </c>
      <c r="C12" s="74"/>
      <c r="D12" s="51"/>
      <c r="E12" s="51"/>
      <c r="F12" s="72"/>
      <c r="G12" s="71"/>
      <c r="H12" s="51"/>
      <c r="I12" s="51"/>
      <c r="J12" s="72"/>
    </row>
    <row r="13" spans="1:10" ht="24.75" customHeight="1">
      <c r="A13" s="65" t="s">
        <v>84</v>
      </c>
      <c r="B13" s="75" t="s">
        <v>105</v>
      </c>
      <c r="C13" s="74"/>
      <c r="D13" s="51"/>
      <c r="E13" s="51"/>
      <c r="F13" s="72"/>
      <c r="G13" s="71"/>
      <c r="H13" s="51"/>
      <c r="I13" s="51"/>
      <c r="J13" s="72"/>
    </row>
    <row r="14" spans="1:10" ht="24.75" customHeight="1">
      <c r="A14" s="65" t="s">
        <v>148</v>
      </c>
      <c r="B14" s="75" t="s">
        <v>108</v>
      </c>
      <c r="C14" s="74"/>
      <c r="D14" s="51"/>
      <c r="E14" s="51"/>
      <c r="F14" s="72"/>
      <c r="G14" s="71"/>
      <c r="H14" s="51"/>
      <c r="I14" s="51"/>
      <c r="J14" s="72"/>
    </row>
    <row r="15" spans="1:10" ht="24.75" customHeight="1">
      <c r="A15" s="65" t="s">
        <v>149</v>
      </c>
      <c r="B15" s="75" t="s">
        <v>111</v>
      </c>
      <c r="C15" s="74"/>
      <c r="D15" s="69"/>
      <c r="E15" s="51"/>
      <c r="F15" s="72"/>
      <c r="G15" s="71"/>
      <c r="H15" s="51"/>
      <c r="I15" s="51"/>
      <c r="J15" s="72"/>
    </row>
    <row r="16" spans="1:10" ht="24.75" customHeight="1">
      <c r="A16" s="65" t="s">
        <v>150</v>
      </c>
      <c r="B16" s="66" t="s">
        <v>104</v>
      </c>
      <c r="C16" s="74"/>
      <c r="D16" s="69"/>
      <c r="E16" s="51"/>
      <c r="F16" s="72"/>
      <c r="G16" s="71"/>
      <c r="H16" s="51"/>
      <c r="I16" s="51"/>
      <c r="J16" s="72"/>
    </row>
    <row r="17" spans="1:10" ht="24.75" customHeight="1">
      <c r="A17" s="65" t="s">
        <v>151</v>
      </c>
      <c r="B17" s="75" t="s">
        <v>171</v>
      </c>
      <c r="C17" s="71"/>
      <c r="D17" s="51"/>
      <c r="E17" s="51"/>
      <c r="F17" s="72"/>
      <c r="G17" s="71"/>
      <c r="H17" s="51"/>
      <c r="I17" s="69"/>
      <c r="J17" s="72"/>
    </row>
    <row r="18" spans="1:10" ht="24.75" customHeight="1">
      <c r="A18" s="65" t="s">
        <v>177</v>
      </c>
      <c r="B18" s="75" t="s">
        <v>175</v>
      </c>
      <c r="C18" s="71"/>
      <c r="D18" s="51"/>
      <c r="E18" s="51"/>
      <c r="F18" s="72"/>
      <c r="G18" s="71"/>
      <c r="H18" s="51"/>
      <c r="I18" s="69"/>
      <c r="J18" s="72"/>
    </row>
    <row r="19" spans="1:10" ht="24.75" customHeight="1">
      <c r="A19" s="65" t="s">
        <v>180</v>
      </c>
      <c r="B19" s="75" t="s">
        <v>179</v>
      </c>
      <c r="C19" s="71"/>
      <c r="D19" s="51"/>
      <c r="E19" s="51"/>
      <c r="F19" s="72"/>
      <c r="G19" s="71"/>
      <c r="H19" s="69"/>
      <c r="I19" s="51"/>
      <c r="J19" s="72"/>
    </row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5">
    <mergeCell ref="A1:J1"/>
    <mergeCell ref="A4:B4"/>
    <mergeCell ref="C3:F3"/>
    <mergeCell ref="G3:J3"/>
    <mergeCell ref="A2:B2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0">
      <selection activeCell="K10" sqref="K10"/>
    </sheetView>
  </sheetViews>
  <sheetFormatPr defaultColWidth="9.140625" defaultRowHeight="15"/>
  <sheetData>
    <row r="2" spans="1:9" ht="16.5">
      <c r="A2" s="10"/>
      <c r="B2" s="137" t="s">
        <v>37</v>
      </c>
      <c r="C2" s="137"/>
      <c r="D2" s="137"/>
      <c r="E2" s="137"/>
      <c r="F2" s="137"/>
      <c r="G2" s="137"/>
      <c r="H2" s="11"/>
      <c r="I2" s="12"/>
    </row>
    <row r="3" spans="1:9" ht="15">
      <c r="A3" s="13"/>
      <c r="B3" s="14"/>
      <c r="C3" s="14"/>
      <c r="D3" s="14"/>
      <c r="E3" s="14"/>
      <c r="F3" s="14"/>
      <c r="G3" s="14"/>
      <c r="H3" s="14"/>
      <c r="I3" s="15"/>
    </row>
    <row r="4" spans="1:9" ht="15">
      <c r="A4" s="13"/>
      <c r="B4" s="14"/>
      <c r="C4" s="14"/>
      <c r="D4" s="14"/>
      <c r="E4" s="14"/>
      <c r="F4" s="14"/>
      <c r="G4" s="14"/>
      <c r="H4" s="14"/>
      <c r="I4" s="15"/>
    </row>
    <row r="5" spans="1:9" ht="15">
      <c r="A5" s="13"/>
      <c r="B5" s="138" t="s">
        <v>38</v>
      </c>
      <c r="C5" s="138"/>
      <c r="D5" s="138"/>
      <c r="E5" s="138"/>
      <c r="F5" s="9" t="s">
        <v>39</v>
      </c>
      <c r="G5" s="9" t="s">
        <v>40</v>
      </c>
      <c r="H5" s="14"/>
      <c r="I5" s="15"/>
    </row>
    <row r="6" spans="1:9" ht="15">
      <c r="A6" s="13"/>
      <c r="B6" s="139" t="s">
        <v>41</v>
      </c>
      <c r="C6" s="139"/>
      <c r="D6" s="139"/>
      <c r="E6" s="139"/>
      <c r="F6" s="1" t="s">
        <v>42</v>
      </c>
      <c r="G6" s="2">
        <v>0.0467</v>
      </c>
      <c r="H6" s="14"/>
      <c r="I6" s="15"/>
    </row>
    <row r="7" spans="1:9" ht="25.5" customHeight="1">
      <c r="A7" s="13"/>
      <c r="B7" s="136" t="s">
        <v>43</v>
      </c>
      <c r="C7" s="136"/>
      <c r="D7" s="136"/>
      <c r="E7" s="136"/>
      <c r="F7" s="3" t="s">
        <v>44</v>
      </c>
      <c r="G7" s="4">
        <v>0.0074</v>
      </c>
      <c r="H7" s="14"/>
      <c r="I7" s="15"/>
    </row>
    <row r="8" spans="1:9" ht="15">
      <c r="A8" s="13"/>
      <c r="B8" s="136" t="s">
        <v>45</v>
      </c>
      <c r="C8" s="136"/>
      <c r="D8" s="136"/>
      <c r="E8" s="136"/>
      <c r="F8" s="3" t="s">
        <v>46</v>
      </c>
      <c r="G8" s="4">
        <v>0.0097</v>
      </c>
      <c r="H8" s="14"/>
      <c r="I8" s="15"/>
    </row>
    <row r="9" spans="1:9" ht="15">
      <c r="A9" s="13"/>
      <c r="B9" s="136" t="s">
        <v>47</v>
      </c>
      <c r="C9" s="136"/>
      <c r="D9" s="136"/>
      <c r="E9" s="136"/>
      <c r="F9" s="3" t="s">
        <v>48</v>
      </c>
      <c r="G9" s="4">
        <v>0.012</v>
      </c>
      <c r="H9" s="14"/>
      <c r="I9" s="15"/>
    </row>
    <row r="10" spans="1:9" ht="15">
      <c r="A10" s="13"/>
      <c r="B10" s="136" t="s">
        <v>49</v>
      </c>
      <c r="C10" s="136"/>
      <c r="D10" s="136"/>
      <c r="E10" s="136"/>
      <c r="F10" s="3" t="s">
        <v>50</v>
      </c>
      <c r="G10" s="5">
        <v>0.085</v>
      </c>
      <c r="H10" s="14"/>
      <c r="I10" s="15"/>
    </row>
    <row r="11" spans="1:9" ht="38.25" customHeight="1">
      <c r="A11" s="13"/>
      <c r="B11" s="140" t="s">
        <v>51</v>
      </c>
      <c r="C11" s="145" t="s">
        <v>52</v>
      </c>
      <c r="D11" s="146"/>
      <c r="E11" s="147"/>
      <c r="F11" s="141" t="s">
        <v>53</v>
      </c>
      <c r="G11" s="5">
        <v>0.0065</v>
      </c>
      <c r="H11" s="14"/>
      <c r="I11" s="15"/>
    </row>
    <row r="12" spans="1:9" ht="38.25" customHeight="1">
      <c r="A12" s="13"/>
      <c r="B12" s="140"/>
      <c r="C12" s="145" t="s">
        <v>54</v>
      </c>
      <c r="D12" s="146"/>
      <c r="E12" s="147"/>
      <c r="F12" s="141"/>
      <c r="G12" s="5">
        <v>0.03</v>
      </c>
      <c r="H12" s="14"/>
      <c r="I12" s="15"/>
    </row>
    <row r="13" spans="1:9" ht="63.75" customHeight="1">
      <c r="A13" s="13"/>
      <c r="B13" s="140"/>
      <c r="C13" s="145" t="s">
        <v>55</v>
      </c>
      <c r="D13" s="146"/>
      <c r="E13" s="147"/>
      <c r="F13" s="141"/>
      <c r="G13" s="6">
        <v>0.02</v>
      </c>
      <c r="H13" s="14"/>
      <c r="I13" s="15"/>
    </row>
    <row r="14" spans="1:9" ht="25.5" customHeight="1">
      <c r="A14" s="13"/>
      <c r="B14" s="140"/>
      <c r="C14" s="148" t="s">
        <v>56</v>
      </c>
      <c r="D14" s="149"/>
      <c r="E14" s="150"/>
      <c r="F14" s="141"/>
      <c r="G14" s="6">
        <f>IF('[1]Dados'!$G$23="desonerado",4.5%,IF('[1]Dados'!$G$23="não desonerado",0%,"Ver aba DADOS"))</f>
        <v>0.045</v>
      </c>
      <c r="H14" s="14"/>
      <c r="I14" s="15"/>
    </row>
    <row r="15" spans="1:9" ht="38.25" customHeight="1">
      <c r="A15" s="13"/>
      <c r="B15" s="151" t="s">
        <v>57</v>
      </c>
      <c r="C15" s="152"/>
      <c r="D15" s="152"/>
      <c r="E15" s="152"/>
      <c r="F15" s="153"/>
      <c r="G15" s="7">
        <v>0.3</v>
      </c>
      <c r="H15" s="14"/>
      <c r="I15" s="15"/>
    </row>
    <row r="16" spans="1:9" ht="15">
      <c r="A16" s="13"/>
      <c r="B16" s="16"/>
      <c r="C16" s="16"/>
      <c r="D16" s="16"/>
      <c r="E16" s="16"/>
      <c r="F16" s="16"/>
      <c r="G16" s="16"/>
      <c r="H16" s="14"/>
      <c r="I16" s="15"/>
    </row>
    <row r="17" spans="1:9" ht="15">
      <c r="A17" s="13"/>
      <c r="B17" s="16" t="s">
        <v>58</v>
      </c>
      <c r="C17" s="16"/>
      <c r="D17" s="16"/>
      <c r="E17" s="16"/>
      <c r="F17" s="16"/>
      <c r="G17" s="16"/>
      <c r="H17" s="14"/>
      <c r="I17" s="15"/>
    </row>
    <row r="18" spans="1:9" ht="15">
      <c r="A18" s="13"/>
      <c r="B18" s="16"/>
      <c r="C18" s="16"/>
      <c r="D18" s="16"/>
      <c r="E18" s="16"/>
      <c r="F18" s="16"/>
      <c r="G18" s="16"/>
      <c r="H18" s="14"/>
      <c r="I18" s="15"/>
    </row>
    <row r="19" spans="1:9" ht="15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15">
      <c r="A20" s="13"/>
      <c r="B20" s="14"/>
      <c r="C20" s="14"/>
      <c r="D20" s="14"/>
      <c r="E20" s="14"/>
      <c r="F20" s="14"/>
      <c r="G20" s="14"/>
      <c r="H20" s="14"/>
      <c r="I20" s="15"/>
    </row>
    <row r="21" spans="1:9" ht="15">
      <c r="A21" s="13"/>
      <c r="B21" s="142"/>
      <c r="C21" s="142"/>
      <c r="D21" s="142"/>
      <c r="E21" s="142"/>
      <c r="F21" s="142"/>
      <c r="G21" s="142"/>
      <c r="H21" s="14"/>
      <c r="I21" s="15"/>
    </row>
    <row r="22" spans="1:9" ht="15" customHeight="1">
      <c r="A22" s="13"/>
      <c r="B22" s="142" t="s">
        <v>60</v>
      </c>
      <c r="C22" s="142"/>
      <c r="D22" s="142"/>
      <c r="E22" s="142"/>
      <c r="F22" s="142"/>
      <c r="G22" s="142"/>
      <c r="H22" s="142"/>
      <c r="I22" s="154"/>
    </row>
    <row r="23" spans="1:9" ht="15">
      <c r="A23" s="13"/>
      <c r="B23" s="17"/>
      <c r="C23" s="18"/>
      <c r="D23" s="19"/>
      <c r="E23" s="20"/>
      <c r="F23" s="17"/>
      <c r="G23" s="18"/>
      <c r="H23" s="14"/>
      <c r="I23" s="15"/>
    </row>
    <row r="24" spans="1:9" ht="15">
      <c r="A24" s="13"/>
      <c r="B24" s="8"/>
      <c r="C24" s="8"/>
      <c r="D24" s="8"/>
      <c r="E24" s="8"/>
      <c r="F24" s="8"/>
      <c r="G24" s="8"/>
      <c r="H24" s="8"/>
      <c r="I24" s="21"/>
    </row>
    <row r="25" spans="1:9" ht="15">
      <c r="A25" s="13"/>
      <c r="B25" s="143" t="s">
        <v>59</v>
      </c>
      <c r="C25" s="143"/>
      <c r="D25" s="143"/>
      <c r="E25" s="143"/>
      <c r="F25" s="143"/>
      <c r="G25" s="143"/>
      <c r="H25" s="143"/>
      <c r="I25" s="144"/>
    </row>
    <row r="26" spans="1:9" ht="15">
      <c r="A26" s="13"/>
      <c r="B26" s="143" t="s">
        <v>62</v>
      </c>
      <c r="C26" s="143"/>
      <c r="D26" s="143"/>
      <c r="E26" s="143"/>
      <c r="F26" s="143"/>
      <c r="G26" s="143"/>
      <c r="H26" s="143"/>
      <c r="I26" s="144"/>
    </row>
    <row r="27" spans="1:9" ht="15">
      <c r="A27" s="13"/>
      <c r="B27" s="143" t="s">
        <v>61</v>
      </c>
      <c r="C27" s="143"/>
      <c r="D27" s="143"/>
      <c r="E27" s="143"/>
      <c r="F27" s="143"/>
      <c r="G27" s="143"/>
      <c r="H27" s="143"/>
      <c r="I27" s="144"/>
    </row>
    <row r="28" spans="1:9" ht="15">
      <c r="A28" s="22"/>
      <c r="B28" s="23"/>
      <c r="C28" s="23"/>
      <c r="D28" s="23"/>
      <c r="E28" s="23"/>
      <c r="F28" s="23"/>
      <c r="G28" s="23"/>
      <c r="H28" s="23"/>
      <c r="I28" s="24"/>
    </row>
  </sheetData>
  <sheetProtection/>
  <mergeCells count="19">
    <mergeCell ref="B26:I26"/>
    <mergeCell ref="B27:I27"/>
    <mergeCell ref="C11:E11"/>
    <mergeCell ref="C12:E12"/>
    <mergeCell ref="C13:E13"/>
    <mergeCell ref="C14:E14"/>
    <mergeCell ref="B15:F15"/>
    <mergeCell ref="B22:I22"/>
    <mergeCell ref="B10:E10"/>
    <mergeCell ref="B11:B14"/>
    <mergeCell ref="F11:F14"/>
    <mergeCell ref="B21:G21"/>
    <mergeCell ref="B25:I25"/>
    <mergeCell ref="B9:E9"/>
    <mergeCell ref="B2:G2"/>
    <mergeCell ref="B5:E5"/>
    <mergeCell ref="B6:E6"/>
    <mergeCell ref="B7:E7"/>
    <mergeCell ref="B8:E8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Reis</dc:creator>
  <cp:keywords/>
  <dc:description/>
  <cp:lastModifiedBy>Adriana Stocco</cp:lastModifiedBy>
  <cp:lastPrinted>2020-09-23T15:12:10Z</cp:lastPrinted>
  <dcterms:created xsi:type="dcterms:W3CDTF">2020-08-04T14:11:47Z</dcterms:created>
  <dcterms:modified xsi:type="dcterms:W3CDTF">2020-09-28T16:26:12Z</dcterms:modified>
  <cp:category/>
  <cp:version/>
  <cp:contentType/>
  <cp:contentStatus/>
</cp:coreProperties>
</file>