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00" activeTab="2"/>
  </bookViews>
  <sheets>
    <sheet name="Orçamento" sheetId="1" r:id="rId1"/>
    <sheet name="BDI" sheetId="2" r:id="rId2"/>
    <sheet name="Cronograma" sheetId="3" r:id="rId3"/>
  </sheets>
  <externalReferences>
    <externalReference r:id="rId6"/>
  </externalReferences>
  <definedNames>
    <definedName name="_xlnm.Print_Area" localSheetId="2">'Cronograma'!$A$1:$N$16</definedName>
    <definedName name="_xlnm.Print_Titles" localSheetId="0">'Orçamento'!$4:$4</definedName>
  </definedNames>
  <calcPr fullCalcOnLoad="1"/>
</workbook>
</file>

<file path=xl/sharedStrings.xml><?xml version="1.0" encoding="utf-8"?>
<sst xmlns="http://schemas.openxmlformats.org/spreadsheetml/2006/main" count="356" uniqueCount="230">
  <si>
    <t>ORÇAMENTO –  Mercado Municipal Maria Elias De Godoy Camargo"Dona Lica"</t>
  </si>
  <si>
    <t xml:space="preserve">Av. Nair Soares de Macedo Fatore – Centro, Itatiba </t>
  </si>
  <si>
    <t>Tabela de custo SINAPI data base: 11/06/2021   Leis Sociais: 47,82% BDI:30% - Tabela de custo CPOS nº 181 data base fevereiro/2021Leis Sociais: 97,78% BDI:30%</t>
  </si>
  <si>
    <t>FONTE</t>
  </si>
  <si>
    <t>CÓDIGO</t>
  </si>
  <si>
    <t>ITEM</t>
  </si>
  <si>
    <t>SERVIÇO</t>
  </si>
  <si>
    <t>UN.</t>
  </si>
  <si>
    <t>QTD.</t>
  </si>
  <si>
    <t>CUSTO UNITÁRIO          R$</t>
  </si>
  <si>
    <t>CUSTO TOTAL       R$</t>
  </si>
  <si>
    <t>PESO</t>
  </si>
  <si>
    <t>Especificação - descrição das caracteristicas de materiais e serviços.</t>
  </si>
  <si>
    <t>1.0</t>
  </si>
  <si>
    <t>ESQUADRIAS</t>
  </si>
  <si>
    <t>SINAPI</t>
  </si>
  <si>
    <t>1.1</t>
  </si>
  <si>
    <t>PORTAS DE ALUMINIO</t>
  </si>
  <si>
    <t>M²</t>
  </si>
  <si>
    <t>Porta de abrir em alumínio com pintura eletrostática, sob medida - cor branca.FORNECIMENTO E INSTALAÇÃO. INCLUSO NO ITEM AS PORTAS DE ENTRADA DOS BANHEIROS INTERNOS E EXTERNOS, DOS BOXES DE TODOS OS BANHEIROS E DOS SANITÁRIOS ACESSÍVEIS. VER INFORMAÇÕES NO MEMORIAL DESCRITIVO</t>
  </si>
  <si>
    <t>CPOS</t>
  </si>
  <si>
    <t>1.2</t>
  </si>
  <si>
    <t>MOLA AREA PARA PORTA COM ESFORÇO ACIMA DE 50 KG ATÉ 60 KG</t>
  </si>
  <si>
    <t>INSTALAÇÃO NAS PORTAS DE ENTRADA DOS BANHEIROS INTERNOS E EXTERNOS</t>
  </si>
  <si>
    <t>1.3</t>
  </si>
  <si>
    <t>FECHADURA ELETROMAGNETICA PARA CAPACIDADE DE ATRAQUE DE 150 KGF</t>
  </si>
  <si>
    <t>INSTALAÇÃO NAS PORTAS DE ENTRADA DOS BANHEIROS INTERNOS E EXTERNOS. INCLUSO TAG E FONTE. FORNECIMENTO E INSTALAÇÃO.</t>
  </si>
  <si>
    <t>2.0</t>
  </si>
  <si>
    <t>REVESTIMENTO DE PAREDE - INTERNO</t>
  </si>
  <si>
    <t>2.1</t>
  </si>
  <si>
    <t>REVESTIMENTO PORCELANATO PARA PAREDE</t>
  </si>
  <si>
    <t>REVESTIMENTO CERÂMICO/PORCELANATO PARA PAREDES INTERNAS COM PLACAS TIPO ESMALTADA EXTRA DE DIMENSÕES 33X45 CM APLICADAS EM AMBIENTES DE ÁREA MAIOR QUE 5M² NA ALTURA INTEIRA DAS PAREDES COM ARGAMASSA COLANTE PISO SOBRE PISO, PARA SOBREPOSIÇÃO DE ELEMENTO NOVO SOBRE ANTIGO</t>
  </si>
  <si>
    <t>3.0</t>
  </si>
  <si>
    <t>PISO</t>
  </si>
  <si>
    <t>3.1</t>
  </si>
  <si>
    <t>REVESTIMENTO PORCELANATO PARA PISO</t>
  </si>
  <si>
    <t>REVESTIMENTO CERÂMICO PARA PISO COM PLACAS TIPO PORCELANATO DE DIMENSÕES 60X60 CM APLICADA EM AMBIENTES DE ÁREA MAIOR QUE 10 M² COM ARGAMASSA COLANTE PISO SOBRE PISO, PARA SOBREPOSIÇÃO DE ELEMENTO NOVO SOBRE ANTIGO</t>
  </si>
  <si>
    <t>4.0</t>
  </si>
  <si>
    <t>INSTALAÇÃO HIDRAULICA</t>
  </si>
  <si>
    <t>Composição do item 86895</t>
  </si>
  <si>
    <t>4.1</t>
  </si>
  <si>
    <t>BANCADA DE GRANITO CINZA POLIDO, PARA LAVATÓRIO - FORNECIMENTO E INSTALAÇÃO.</t>
  </si>
  <si>
    <t>LAVATÓRIO COLETIVO COM TORNEIRA DE MESA- SANIT.ADMINISTRAÇÃO</t>
  </si>
  <si>
    <t>4.2</t>
  </si>
  <si>
    <t xml:space="preserve">ENGATE FLEXÍVEL </t>
  </si>
  <si>
    <t>ENGATE FLEXÍVEL EM PLÁSTICO BRANCO, 1/2 X 40CM - FORNECIMENTO E INSTALAÇÃO.</t>
  </si>
  <si>
    <t>4.3</t>
  </si>
  <si>
    <t xml:space="preserve">CUBA DE EMBUTIR </t>
  </si>
  <si>
    <t>CUBA DE EMBUTIR OVAL EM LOUÇA BRANCA, 35 X 50CM OU EQUIVALENTE - FORNECIMENTO E INSTALAÇÃO.</t>
  </si>
  <si>
    <t>4.4</t>
  </si>
  <si>
    <t xml:space="preserve">SIFÃO </t>
  </si>
  <si>
    <t>SIFÃO DO TIPO GARRAFA EM METAL CROMADO 1 X 1.1/2 - FORNECIMENTO E INSTALAÇÃO.</t>
  </si>
  <si>
    <t>4.5</t>
  </si>
  <si>
    <t xml:space="preserve">VÁLVULA EM METAL </t>
  </si>
  <si>
    <t>VÁLVULA EM METAL CROMADO 1.1/2 X 1.1/2 PARA TANQUE OU LAVATÓRIO, COM OU SEM LADRÃO - FORNECIMENTO E INSTALAÇÃO.</t>
  </si>
  <si>
    <t>4.6</t>
  </si>
  <si>
    <t xml:space="preserve">TORNEIRA </t>
  </si>
  <si>
    <t>TORNEIRA CROMADA DE MESA, 1/2 OU 3/4, PARA LAVATÓRIO, PADRÃO MÉDIO – FORNECIMENTO E INSTALAÇÃO.</t>
  </si>
  <si>
    <t>4.7</t>
  </si>
  <si>
    <t xml:space="preserve">BARRA DE APOIO LATERAL </t>
  </si>
  <si>
    <t>BARRA DE APOIO LATERAL ARTICULADA, COM TRAVA, EM ACO INOX POLIDO, FIXADA NA PAREDE - FORNECIMENTO E INSTALAÇÃO. NOS LAVATORIOS, CONFORME INDICAÇÃO EM PROJETO.</t>
  </si>
  <si>
    <t>4.8</t>
  </si>
  <si>
    <t>BARRA DE APOIO PARA BANHEIRO ACESSIVEL</t>
  </si>
  <si>
    <t>BARRA DE APOIO RETA, EM ALUMINIO, COMPRIMENTO 80 CM, FIXADA NA PAREDE- FORNECIMENTO E INSTALAÇÃO.</t>
  </si>
  <si>
    <t>4.9</t>
  </si>
  <si>
    <t>PUXADOR PARA PORTA</t>
  </si>
  <si>
    <t>PUXADOR PARA PCD, FIXADO NA PORTA - FORNECIMENTO E INSTALAÇÃO.</t>
  </si>
  <si>
    <t>4.10</t>
  </si>
  <si>
    <t xml:space="preserve">VASO SANITÁRIO DE LOUÇA </t>
  </si>
  <si>
    <t>VASO SANITÁRIO SIFONADO COM CAIXA ACOPLADA LOUÇA BRANCA, INCLUSO ENGATE FLEXÍVEL EM PLÁSTICO BRANCO, 1/2 X 40CM - FORNECIMENTO E INSTALAÇÃO</t>
  </si>
  <si>
    <t>4.11</t>
  </si>
  <si>
    <t>TANQUE DE LOUÇA BRANCA COM COLUNA</t>
  </si>
  <si>
    <t>TANQUE DE LOUÇA BRANCA COM COLUNA, 30L OU EQUIVALENTE, INCLUSO SIFÃO FLEXÍVEL EM PVC, VÁLVULA METÁLICA E TORNEIRA DE METAL CROMADO PADRÃO MÉDIO - FORNECIMENTO E INSTALAÇÃO.</t>
  </si>
  <si>
    <t>4.12</t>
  </si>
  <si>
    <t>TORNEIRA DE TANQUE</t>
  </si>
  <si>
    <t>TORNEIRA CROMADA 1/2 OU 3/4 PARA TANQUE, PADRÃO MÉDIO – FORNECIMENTO E INSTALAÇÃO.</t>
  </si>
  <si>
    <t>4.13</t>
  </si>
  <si>
    <t>BANCADA</t>
  </si>
  <si>
    <t xml:space="preserve">BANCADA DE GRANITO CINZA POLIDO 1,50X0,60M - FORNECIMENTO E INSTALAÇÃO PARA DEPÓSITO DE LIMPEZA </t>
  </si>
  <si>
    <t>Composição do item 86889</t>
  </si>
  <si>
    <t>4.14</t>
  </si>
  <si>
    <t>BANCADA TROCADOR</t>
  </si>
  <si>
    <t>BANCADA DE GRANITO CINZA POLIDO 1,00X0,60M - FORNECIMENTO E INSTALAÇÃO PARA TROCADOR BANHEIRO FEMININO INTERNO</t>
  </si>
  <si>
    <t>4.15</t>
  </si>
  <si>
    <t xml:space="preserve">SUPORTE MÃO FRANCESA </t>
  </si>
  <si>
    <t>SUPORTE MÃO FRANCESA EM ACO, ABAS IGUAIS 40 CM, CAPACIDADE MINIMA 70 KG, BRANCO - FORNECIMENTO E INSTALAÇÃO.</t>
  </si>
  <si>
    <t>4.16</t>
  </si>
  <si>
    <t>TUBO, PVC, SOLDÁVEL, DN 25MM, INSTALADO EM RAMAL OU SUB-RAMAL DE ÁGUA - FORNECIMENTO E INSTALAÇÃO.</t>
  </si>
  <si>
    <t>M</t>
  </si>
  <si>
    <t>(COMPOSIÇÃO REPRESENTATIVA) DO SERVIÇO DE INSTALAÇÃO DE TUBOS DE PVC, SOLDÁVEL, ÁGUA FRIA, DN 25 MM (INSTALADO EM RAMAL, SUB-RAMAL, RAMAL DE DISTRIBUIÇÃO OU PRUMADA), INCLUSIVE CONEXÕES, CORTES E FIXAÇÕES.</t>
  </si>
  <si>
    <t>4.17</t>
  </si>
  <si>
    <t>TUBO DE PVC, SÉRIE NORMAL, ESGOTO PREDIAL, DN 40 MM</t>
  </si>
  <si>
    <t>(COMPOSIÇÃO REPRESENTATIVA) DO SERVIÇO DE INSTALAÇÃO DE TUBO DE PVC, SÉRIE NORMAL, ESGOTO PREDIAL, DN 40 MM (INSTALADO EM RAMAL DE DESCARGA OU RAMAL DE ESGOTO SANITÁRIO), INCLUSIVE CONEXÕES, CORTES E FIXAÇÕES.</t>
  </si>
  <si>
    <t>4.18</t>
  </si>
  <si>
    <t>TUBO PVC, SERIE NORMAL, ESGOTO PREDIAL, DN 100 MM, FORNECIDO E INSTALADO EM RAMAL DE DESCARGA OU RAMAL DE ESGOTO SANITÁRIO.</t>
  </si>
  <si>
    <t>(COMPOSIÇÃO REPRESENTATIVA) DO SERVIÇO DE INST. TUBO PVC, SÉRIE N, ESGOTO PREDIAL, 100 MM (INST. RAMAL DESCARGA, RAMAL DE ESG. SANIT., PRUMADA ESG. SANIT., VENTILAÇÃO OU SUB-COLETOR AÉREO), INCL. CONEXÕES E CORTES, FIXAÇÕES.</t>
  </si>
  <si>
    <t>44.20.300</t>
  </si>
  <si>
    <t>4.19</t>
  </si>
  <si>
    <t>BOLSA DE VEDAÇÃO</t>
  </si>
  <si>
    <t>Bolsa para bacia sanitária</t>
  </si>
  <si>
    <t>44.20.280</t>
  </si>
  <si>
    <t>4.20</t>
  </si>
  <si>
    <t>TAMPA PARA VASO SANITARIO</t>
  </si>
  <si>
    <t>Tampa de plástico para bacia sanitária</t>
  </si>
  <si>
    <t>4.21</t>
  </si>
  <si>
    <t>VALVULA DE DESCARGA</t>
  </si>
  <si>
    <t>VÁLVULA DE DESCARGA METÁLICA, BASE 1 1/2 ", ACABAMENTO METALICO CROMADO - FORNECIMENTO E INSTALAÇÃO.</t>
  </si>
  <si>
    <t>5.0</t>
  </si>
  <si>
    <t>INSTALAÇÃO ELETRICA</t>
  </si>
  <si>
    <t>5.1</t>
  </si>
  <si>
    <t>REMOÇÃO DE LUMINÁRIAS, DE FORMA MANUAL, COM REAPROVEITAMENTO.</t>
  </si>
  <si>
    <t>UN</t>
  </si>
  <si>
    <t>5.2</t>
  </si>
  <si>
    <t>LUMINARIA DE LED</t>
  </si>
  <si>
    <t>LUMINARIA DE LED DE SOBREPOR RETANGULAR COM DIFUSOR TRANSLUCIDO, 4.000K, FLUXO LUMINOSO DE 3690 A 4800 LM, POTENCIA DE 38 A 41W</t>
  </si>
  <si>
    <t>5.3</t>
  </si>
  <si>
    <t>REMOÇÃO DE INTERRUPTORES/TOMADAS ELÉTRICAS, DE FORMA MANUAL, SEM REAPROVEITAMENTO.</t>
  </si>
  <si>
    <t>5.4</t>
  </si>
  <si>
    <t>REMOÇÃO DE TUBULAÇÕES (TUBOS E CONEXÕES) DE ELETRICA, DE FORMA MANUAL, SEM REAPROVEITAMENTO.</t>
  </si>
  <si>
    <t>5.5</t>
  </si>
  <si>
    <t>ELETRODUTO DE AÇO GALVANIZADO, CLASSE LEVE, DN 25 MM (1), APARENTE, INSTALADO EM PAREDE - FORNECIMENTO E INSTALAÇÃO.</t>
  </si>
  <si>
    <t>5.6</t>
  </si>
  <si>
    <t>FIXAÇÃO DE TUBOS VERTICAIS DE AÇO GALVANIZADO DIÂMETROS MENORES OU IGUAIS A 40 MM COM ABRAÇADEIRA METÁLICA RÍGIDA TIPO D 1/2", FIXADA EM ALVENARIA.</t>
  </si>
  <si>
    <t>5.7</t>
  </si>
  <si>
    <t>LUVA DE EMENDA PARA ELETRODUTO, AÇO GALVANIZADO, DN 25 MM (1''), APARENTE, INSTALADA EM PAREDE - FORNECIMENTO E INSTALAÇÃO.</t>
  </si>
  <si>
    <t>5.8</t>
  </si>
  <si>
    <t>CABO DE COBRE FLEXÍVEL ISOLADO, 2,5 MM², ANTI-CHAMA 450/750 V, PARA CIRCUITOS TERMINAIS - FORNECIMENTO E INSTALAÇÃO.</t>
  </si>
  <si>
    <t>5.9</t>
  </si>
  <si>
    <t>CONDULETE DE ALUMÍNIO, TIPO E, ELETRODUTO DE AÇO GALVANIZADO DN 25 MM (1''), APARENTE - FORNECIMENTO E INSTALAÇÃO.</t>
  </si>
  <si>
    <t>5.10</t>
  </si>
  <si>
    <t>INTERRUPTOR SIMPLES (1 MÓDULO), 10A/250V, INCLUINDO SUPORTE E PLACA -FORNECIMENTO E INSTALAÇÃO.</t>
  </si>
  <si>
    <t>6.0</t>
  </si>
  <si>
    <t>PINTURA</t>
  </si>
  <si>
    <t>6.1</t>
  </si>
  <si>
    <t>EMASSEAMENTO</t>
  </si>
  <si>
    <t>APLICAÇÃO E LIXAMENTO DE MASSA LÁTEX EM PAREDES, UMA DEMÃO.</t>
  </si>
  <si>
    <t>6.2</t>
  </si>
  <si>
    <t>PINTURA INTERNA PAREDE</t>
  </si>
  <si>
    <t>APLICAÇÃO MANUAL DE PINTURA COM TINTA LÁTEX ACRÍLICA EM PAREDES, DUAS DEMÃOS.</t>
  </si>
  <si>
    <t>6.3</t>
  </si>
  <si>
    <t>PINTURA INTERNA TETO</t>
  </si>
  <si>
    <t>APLICAÇÃO MANUAL DE PINTURA COM TINTA LÁTEX ACRÍLICAEM TETO, DUAS DEMÃOS.</t>
  </si>
  <si>
    <t>7.0</t>
  </si>
  <si>
    <t>DIVISORIA E FECHAMENTO</t>
  </si>
  <si>
    <t>7.1</t>
  </si>
  <si>
    <t>DIVISORIA PARA BANHEIRO</t>
  </si>
  <si>
    <t>DIVISORIA SANITÁRIA, TIPO CABINE, EM GRANITO CINZA POLIDO, ESP = 3CM, ASSENTADO COM ARGAMASSA COLANTE AC III-E, EXCLUSIVE FERRAGENS, CONFORME PROJETO.</t>
  </si>
  <si>
    <t>8.0</t>
  </si>
  <si>
    <t>RETIRADA DE ESQUADRIA E ELEMENTOS DE MADEIRA</t>
  </si>
  <si>
    <t>8.1</t>
  </si>
  <si>
    <t>REMOÇÃO DE PORTAS, DE FORMA MANUAL, SEM REAPROVEITAMENTO.</t>
  </si>
  <si>
    <t>Retirada de todas as portas existentes.</t>
  </si>
  <si>
    <t>9.0</t>
  </si>
  <si>
    <t>RETIRADA DE APARELHOS, METAIS SANITARIOS E REGISTRO</t>
  </si>
  <si>
    <t>04.11.030</t>
  </si>
  <si>
    <t>9.1</t>
  </si>
  <si>
    <t>Retirada de bancada incluindo pertences com reaproveitamento.</t>
  </si>
  <si>
    <t>Retirada de bancada de trocador com reaproveitamento</t>
  </si>
  <si>
    <t>9.2</t>
  </si>
  <si>
    <t>Retirada de lavatorios sem reaproveitamento, inclusive sala administrativa</t>
  </si>
  <si>
    <t>04.11.020</t>
  </si>
  <si>
    <t>9.3</t>
  </si>
  <si>
    <t>Retirada de aparelho sanitário incluindo acessórios com reaproveitamento</t>
  </si>
  <si>
    <t>Retirada de mictorios de louça e metálico</t>
  </si>
  <si>
    <t>10.0</t>
  </si>
  <si>
    <t>RETIRADA DE FECHAMENTO E ELEMENTO DIVISOR</t>
  </si>
  <si>
    <t>04.01.060</t>
  </si>
  <si>
    <t>10.1</t>
  </si>
  <si>
    <t xml:space="preserve">DIVISÓRIA </t>
  </si>
  <si>
    <t>Retirada de divisória em placa de concreto, granito, granilite ou mármore. Banheiros externos masculino e feminino e banheiros internos feminino e masculino. Conforme identificado no projeto.</t>
  </si>
  <si>
    <t>11.0</t>
  </si>
  <si>
    <t>IDENTIFICAÇÃO DO MERCADÃO</t>
  </si>
  <si>
    <t>02.08.040</t>
  </si>
  <si>
    <t>11.1</t>
  </si>
  <si>
    <t>Placa em lona com impressão digital e requadro em metalon</t>
  </si>
  <si>
    <t>Identificação do Mercado Municipal na guarita da entrada de veiculos</t>
  </si>
  <si>
    <t>12.0</t>
  </si>
  <si>
    <t>COBERTURA</t>
  </si>
  <si>
    <t>12.1</t>
  </si>
  <si>
    <t>CALHA METÁLICA</t>
  </si>
  <si>
    <t>CALHA EM CHAPA DE AÇO GALVANIZADO NÚMERO 24, DESENVOLVIMENTO DE 100 CM</t>
  </si>
  <si>
    <t>12.2</t>
  </si>
  <si>
    <t>RUFO METÁLICO</t>
  </si>
  <si>
    <t>RUFO EM CHAPA DE AÇO GALVANIZADO NÚMERO 24, CORTE DE 25 CM, INCLUSO TRANSPORTE VERTICAL.</t>
  </si>
  <si>
    <t>12.3</t>
  </si>
  <si>
    <t>TUBO PVC</t>
  </si>
  <si>
    <t>(COMPOSIÇÃO REPRESENTATIVA) DO SERVIÇO DE INSTALAÇÃO DE TUBOS DE PVC, SÉRIE R, ÁGUA PLUVIAL, DN 100 MM (INSTALADO EM RAMAL DE ENCAMINHAMENTO , OU CONDUTORES VERTICAIS), INCLUSIVE CONEXÕES, CORTES E FIXAÇÕES, PARA PRÉDIOS. Somente no Banheiro feminino interno.</t>
  </si>
  <si>
    <t>TOTAL</t>
  </si>
  <si>
    <t>Composição de preço bancada para atendimento:</t>
  </si>
  <si>
    <t>Item 86895 custo de R$ 278,06 por unidade com dimensão de 0,50 x 0,60m, ou seja 0,30 m². Portanto , 1,00 m² de bancada tem o custo de R$ 926,87 + BDI</t>
  </si>
  <si>
    <t>Item 86889 custo de R$ 548,07 por unidade com dimensão de 1,50 x 0,60m, ou seja 0,90 m². Portanto , 1,00 m² de bancada tem o custo de R$ 608,97 +  BDI</t>
  </si>
  <si>
    <t>COMPOSIÇÃO DE B.D.I.</t>
  </si>
  <si>
    <t>ITENS</t>
  </si>
  <si>
    <t>SIGLAS</t>
  </si>
  <si>
    <t>VALORES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</si>
  <si>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</si>
  <si>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</si>
  <si>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</si>
  <si>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</si>
  <si>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</si>
  <si>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</si>
  <si>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</si>
  <si>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</si>
  <si>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</si>
  <si>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</si>
  <si>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</si>
  <si>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</si>
  <si>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</si>
  <si>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</si>
  <si>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</si>
  <si>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</si>
  <si>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RESULTANTE</t>
  </si>
  <si>
    <t>FÓRMULA UTILIZADA:</t>
  </si>
  <si>
    <t>CRONOGRAMA - Mercado Municipal Maria Elias De Godoy Camargo"Dona Lica"</t>
  </si>
  <si>
    <t>MÊS 01 - BANHEIRO EXTERNO</t>
  </si>
  <si>
    <t>MÊS 02 – BANHEIRO EXTERNO</t>
  </si>
  <si>
    <t>MÊS 03 – BANHEIRO INTERNO</t>
  </si>
  <si>
    <t>MÊS 04 – BANHEIRO INTERNO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</si>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</sst>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MS Sans Serif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sz val="13"/>
      <color indexed="55"/>
      <name val="Arial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MS Sans Serif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/>
      <top style="thin">
        <color rgb="FFA6A6A6"/>
      </top>
      <bottom style="thin">
        <color rgb="FFA6A6A6"/>
      </bottom>
    </border>
    <border>
      <left style="thick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ck">
        <color rgb="FFA6A6A6"/>
      </right>
      <top style="thin">
        <color rgb="FFA6A6A6"/>
      </top>
      <bottom style="thin">
        <color rgb="FFA6A6A6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ck">
        <color rgb="FFA6A6A6"/>
      </left>
      <right style="thick">
        <color rgb="FFA6A6A6"/>
      </right>
      <top style="thin">
        <color rgb="FFA6A6A6"/>
      </top>
      <bottom style="thin">
        <color rgb="FFA6A6A6"/>
      </bottom>
    </border>
    <border>
      <left/>
      <right/>
      <top style="thin">
        <color rgb="FFA6A6A6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Border="0" applyProtection="0">
      <alignment/>
    </xf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10" fontId="41" fillId="33" borderId="10" xfId="49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Alignment="1">
      <alignment/>
    </xf>
    <xf numFmtId="0" fontId="41" fillId="0" borderId="10" xfId="0" applyFont="1" applyBorder="1" applyAlignment="1">
      <alignment horizontal="left" vertical="center"/>
    </xf>
    <xf numFmtId="4" fontId="41" fillId="0" borderId="10" xfId="0" applyNumberFormat="1" applyFont="1" applyBorder="1" applyAlignment="1">
      <alignment horizontal="center" vertical="center"/>
    </xf>
    <xf numFmtId="10" fontId="41" fillId="0" borderId="10" xfId="49" applyNumberFormat="1" applyFont="1" applyBorder="1" applyAlignment="1" applyProtection="1">
      <alignment vertical="center"/>
      <protection/>
    </xf>
    <xf numFmtId="0" fontId="41" fillId="33" borderId="10" xfId="0" applyFont="1" applyFill="1" applyBorder="1" applyAlignment="1">
      <alignment horizontal="center" vertical="center" wrapText="1"/>
    </xf>
    <xf numFmtId="10" fontId="41" fillId="0" borderId="10" xfId="49" applyNumberFormat="1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center" vertical="center"/>
    </xf>
    <xf numFmtId="10" fontId="41" fillId="34" borderId="1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3" fillId="35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10" fontId="44" fillId="34" borderId="17" xfId="49" applyNumberFormat="1" applyFont="1" applyFill="1" applyBorder="1" applyAlignment="1" applyProtection="1">
      <alignment horizontal="center" vertical="center" wrapText="1"/>
      <protection locked="0"/>
    </xf>
    <xf numFmtId="0" fontId="44" fillId="34" borderId="18" xfId="0" applyFont="1" applyFill="1" applyBorder="1" applyAlignment="1">
      <alignment horizontal="center" vertical="center" wrapText="1"/>
    </xf>
    <xf numFmtId="10" fontId="44" fillId="34" borderId="18" xfId="49" applyNumberFormat="1" applyFont="1" applyFill="1" applyBorder="1" applyAlignment="1" applyProtection="1">
      <alignment horizontal="center" vertical="center" wrapText="1"/>
      <protection locked="0"/>
    </xf>
    <xf numFmtId="10" fontId="44" fillId="34" borderId="19" xfId="49" applyNumberFormat="1" applyFont="1" applyFill="1" applyBorder="1" applyAlignment="1" applyProtection="1">
      <alignment horizontal="center" vertical="center" wrapText="1"/>
      <protection locked="0"/>
    </xf>
    <xf numFmtId="10" fontId="44" fillId="34" borderId="18" xfId="49" applyNumberFormat="1" applyFont="1" applyFill="1" applyBorder="1" applyAlignment="1" applyProtection="1">
      <alignment horizontal="center" vertical="center" wrapText="1"/>
      <protection/>
    </xf>
    <xf numFmtId="10" fontId="43" fillId="35" borderId="16" xfId="49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36" borderId="23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0" xfId="0" applyFill="1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10" fontId="41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35" borderId="16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left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left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center"/>
    </xf>
    <xf numFmtId="0" fontId="43" fillId="35" borderId="16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0</xdr:rowOff>
    </xdr:from>
    <xdr:to>
      <xdr:col>7</xdr:col>
      <xdr:colOff>219075</xdr:colOff>
      <xdr:row>19</xdr:row>
      <xdr:rowOff>38100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838700"/>
          <a:ext cx="2876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tos\B%20D%20I\BDI%20SINAPI%20CAI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1">
        <row r="23">
          <cell r="G23" t="str">
            <v>DESONERADO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74" zoomScaleNormal="74" zoomScaleSheetLayoutView="74" zoomScalePageLayoutView="80" workbookViewId="0" topLeftCell="A1">
      <pane ySplit="1" topLeftCell="A2" activePane="bottomLeft" state="frozen"/>
      <selection pane="topLeft" activeCell="A1" sqref="A1"/>
      <selection pane="bottomLeft" activeCell="A2" sqref="A2:M2"/>
    </sheetView>
  </sheetViews>
  <sheetFormatPr defaultColWidth="8.7109375" defaultRowHeight="15"/>
  <cols>
    <col min="1" max="1" width="8.7109375" style="0" customWidth="1"/>
    <col min="2" max="2" width="14.421875" style="0" customWidth="1"/>
    <col min="3" max="3" width="8.7109375" style="0" customWidth="1"/>
    <col min="4" max="4" width="53.57421875" style="0" customWidth="1"/>
    <col min="5" max="5" width="8.7109375" style="0" customWidth="1"/>
    <col min="6" max="6" width="9.28125" style="0" customWidth="1"/>
    <col min="7" max="7" width="14.57421875" style="0" customWidth="1"/>
    <col min="8" max="8" width="14.140625" style="0" customWidth="1"/>
    <col min="9" max="9" width="15.8515625" style="0" customWidth="1"/>
    <col min="10" max="12" width="8.7109375" style="0" customWidth="1"/>
    <col min="13" max="13" width="44.421875" style="0" customWidth="1"/>
  </cols>
  <sheetData>
    <row r="1" spans="1:13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4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1.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47.2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  <c r="H4" s="3" t="s">
        <v>10</v>
      </c>
      <c r="I4" s="2" t="s">
        <v>11</v>
      </c>
      <c r="J4" s="63" t="s">
        <v>12</v>
      </c>
      <c r="K4" s="63"/>
      <c r="L4" s="63"/>
      <c r="M4" s="63"/>
      <c r="N4" s="4"/>
      <c r="O4" s="4"/>
    </row>
    <row r="5" spans="1:15" ht="24.75" customHeight="1">
      <c r="A5" s="5"/>
      <c r="B5" s="5"/>
      <c r="C5" s="70"/>
      <c r="D5" s="70"/>
      <c r="E5" s="2"/>
      <c r="F5" s="2"/>
      <c r="G5" s="6">
        <v>1.3</v>
      </c>
      <c r="H5" s="3"/>
      <c r="I5" s="2"/>
      <c r="J5" s="70"/>
      <c r="K5" s="70"/>
      <c r="L5" s="70"/>
      <c r="M5" s="70"/>
      <c r="N5" s="4"/>
      <c r="O5" s="4"/>
    </row>
    <row r="6" spans="1:14" ht="24.75" customHeight="1">
      <c r="A6" s="7"/>
      <c r="B6" s="7"/>
      <c r="C6" s="8" t="s">
        <v>13</v>
      </c>
      <c r="D6" s="9" t="s">
        <v>14</v>
      </c>
      <c r="E6" s="10"/>
      <c r="F6" s="11"/>
      <c r="G6" s="10"/>
      <c r="H6" s="12">
        <f>SUM(H7:H9)</f>
        <v>22572.680000000004</v>
      </c>
      <c r="I6" s="13">
        <f>H6/H67</f>
        <v>0.1680742704516156</v>
      </c>
      <c r="J6" s="67"/>
      <c r="K6" s="67"/>
      <c r="L6" s="67"/>
      <c r="M6" s="67"/>
      <c r="N6" s="14"/>
    </row>
    <row r="7" spans="1:13" ht="86.25" customHeight="1">
      <c r="A7" s="2" t="s">
        <v>15</v>
      </c>
      <c r="B7" s="2">
        <v>91341</v>
      </c>
      <c r="C7" s="2" t="s">
        <v>16</v>
      </c>
      <c r="D7" s="15" t="s">
        <v>17</v>
      </c>
      <c r="E7" s="2" t="s">
        <v>18</v>
      </c>
      <c r="F7" s="16">
        <v>31.65</v>
      </c>
      <c r="G7" s="16">
        <f>468.8*G5</f>
        <v>609.44</v>
      </c>
      <c r="H7" s="16">
        <f>F7*G7</f>
        <v>19288.776</v>
      </c>
      <c r="I7" s="17"/>
      <c r="J7" s="59" t="s">
        <v>19</v>
      </c>
      <c r="K7" s="59"/>
      <c r="L7" s="59"/>
      <c r="M7" s="59"/>
    </row>
    <row r="8" spans="1:13" ht="38.25" customHeight="1">
      <c r="A8" s="2" t="s">
        <v>20</v>
      </c>
      <c r="B8" s="2">
        <v>2801160</v>
      </c>
      <c r="C8" s="2" t="s">
        <v>21</v>
      </c>
      <c r="D8" s="1" t="s">
        <v>22</v>
      </c>
      <c r="E8" s="2" t="s">
        <v>7</v>
      </c>
      <c r="F8" s="16">
        <v>4</v>
      </c>
      <c r="G8" s="16">
        <f>283.94*G5</f>
        <v>369.122</v>
      </c>
      <c r="H8" s="16">
        <f>F8*G8</f>
        <v>1476.488</v>
      </c>
      <c r="I8" s="17"/>
      <c r="J8" s="59" t="s">
        <v>23</v>
      </c>
      <c r="K8" s="59"/>
      <c r="L8" s="59"/>
      <c r="M8" s="59"/>
    </row>
    <row r="9" spans="1:13" ht="38.25" customHeight="1">
      <c r="A9" s="2" t="s">
        <v>20</v>
      </c>
      <c r="B9" s="2">
        <v>2801146</v>
      </c>
      <c r="C9" s="2" t="s">
        <v>24</v>
      </c>
      <c r="D9" s="1" t="s">
        <v>25</v>
      </c>
      <c r="E9" s="2" t="s">
        <v>7</v>
      </c>
      <c r="F9" s="16">
        <v>4</v>
      </c>
      <c r="G9" s="16">
        <f>347.58*G5</f>
        <v>451.854</v>
      </c>
      <c r="H9" s="16">
        <f>F9*G9</f>
        <v>1807.416</v>
      </c>
      <c r="I9" s="17"/>
      <c r="J9" s="59" t="s">
        <v>26</v>
      </c>
      <c r="K9" s="59"/>
      <c r="L9" s="59"/>
      <c r="M9" s="59"/>
    </row>
    <row r="10" spans="1:13" ht="47.25" customHeight="1">
      <c r="A10" s="10"/>
      <c r="B10" s="10"/>
      <c r="C10" s="8" t="s">
        <v>27</v>
      </c>
      <c r="D10" s="9" t="s">
        <v>28</v>
      </c>
      <c r="E10" s="10"/>
      <c r="F10" s="11"/>
      <c r="G10" s="11"/>
      <c r="H10" s="12">
        <f>SUM(H11:H11)</f>
        <v>20747.7296</v>
      </c>
      <c r="I10" s="13">
        <f>H10/H67</f>
        <v>0.15448584377430546</v>
      </c>
      <c r="J10" s="65"/>
      <c r="K10" s="65"/>
      <c r="L10" s="65"/>
      <c r="M10" s="65"/>
    </row>
    <row r="11" spans="1:13" ht="97.5" customHeight="1">
      <c r="A11" s="2" t="s">
        <v>15</v>
      </c>
      <c r="B11" s="2">
        <v>87273</v>
      </c>
      <c r="C11" s="2" t="s">
        <v>29</v>
      </c>
      <c r="D11" s="15" t="s">
        <v>30</v>
      </c>
      <c r="E11" s="2" t="s">
        <v>18</v>
      </c>
      <c r="F11" s="16">
        <v>285.2</v>
      </c>
      <c r="G11" s="16">
        <f>55.96*G5</f>
        <v>72.748</v>
      </c>
      <c r="H11" s="16">
        <f>F11*G11</f>
        <v>20747.7296</v>
      </c>
      <c r="I11" s="17"/>
      <c r="J11" s="59" t="s">
        <v>31</v>
      </c>
      <c r="K11" s="59"/>
      <c r="L11" s="59"/>
      <c r="M11" s="59"/>
    </row>
    <row r="12" spans="1:13" ht="24.75" customHeight="1">
      <c r="A12" s="10"/>
      <c r="B12" s="10"/>
      <c r="C12" s="8" t="s">
        <v>32</v>
      </c>
      <c r="D12" s="9" t="s">
        <v>33</v>
      </c>
      <c r="E12" s="10"/>
      <c r="F12" s="11"/>
      <c r="G12" s="11"/>
      <c r="H12" s="12">
        <f>SUM(H13:H13)</f>
        <v>15763.97719</v>
      </c>
      <c r="I12" s="13">
        <f>H12/H67</f>
        <v>0.11737724389063058</v>
      </c>
      <c r="J12" s="65"/>
      <c r="K12" s="65"/>
      <c r="L12" s="65"/>
      <c r="M12" s="65"/>
    </row>
    <row r="13" spans="1:13" ht="80.25" customHeight="1">
      <c r="A13" s="2" t="s">
        <v>15</v>
      </c>
      <c r="B13" s="2">
        <v>87263</v>
      </c>
      <c r="C13" s="2" t="s">
        <v>34</v>
      </c>
      <c r="D13" s="1" t="s">
        <v>35</v>
      </c>
      <c r="E13" s="2" t="s">
        <v>18</v>
      </c>
      <c r="F13" s="16">
        <v>102.79</v>
      </c>
      <c r="G13" s="16">
        <f>117.97*G5</f>
        <v>153.361</v>
      </c>
      <c r="H13" s="16">
        <f>F13*G13</f>
        <v>15763.97719</v>
      </c>
      <c r="I13" s="17"/>
      <c r="J13" s="59" t="s">
        <v>36</v>
      </c>
      <c r="K13" s="59"/>
      <c r="L13" s="59"/>
      <c r="M13" s="59"/>
    </row>
    <row r="14" spans="1:13" ht="24.75" customHeight="1">
      <c r="A14" s="10"/>
      <c r="B14" s="10"/>
      <c r="C14" s="8" t="s">
        <v>37</v>
      </c>
      <c r="D14" s="9" t="s">
        <v>38</v>
      </c>
      <c r="E14" s="10"/>
      <c r="F14" s="11"/>
      <c r="G14" s="11"/>
      <c r="H14" s="12">
        <f>SUM(H15:H35)</f>
        <v>32826.5392</v>
      </c>
      <c r="I14" s="13">
        <f>H14/H67</f>
        <v>0.24442364076801515</v>
      </c>
      <c r="J14" s="65"/>
      <c r="K14" s="65"/>
      <c r="L14" s="65"/>
      <c r="M14" s="65"/>
    </row>
    <row r="15" spans="1:13" ht="44.25" customHeight="1">
      <c r="A15" s="2" t="s">
        <v>15</v>
      </c>
      <c r="B15" s="3" t="s">
        <v>39</v>
      </c>
      <c r="C15" s="2" t="s">
        <v>40</v>
      </c>
      <c r="D15" s="1" t="s">
        <v>41</v>
      </c>
      <c r="E15" s="2" t="s">
        <v>18</v>
      </c>
      <c r="F15" s="16">
        <v>7.6</v>
      </c>
      <c r="G15" s="16">
        <f>926.87*G5</f>
        <v>1204.931</v>
      </c>
      <c r="H15" s="16">
        <f aca="true" t="shared" si="0" ref="H15:H35">F15*G15</f>
        <v>9157.4756</v>
      </c>
      <c r="I15" s="19"/>
      <c r="J15" s="59" t="s">
        <v>42</v>
      </c>
      <c r="K15" s="59"/>
      <c r="L15" s="59"/>
      <c r="M15" s="59"/>
    </row>
    <row r="16" spans="1:13" ht="39" customHeight="1">
      <c r="A16" s="2" t="s">
        <v>15</v>
      </c>
      <c r="B16" s="2">
        <v>86885</v>
      </c>
      <c r="C16" s="2" t="s">
        <v>43</v>
      </c>
      <c r="D16" s="1" t="s">
        <v>44</v>
      </c>
      <c r="E16" s="2" t="s">
        <v>7</v>
      </c>
      <c r="F16" s="16">
        <v>12</v>
      </c>
      <c r="G16" s="16">
        <f>12.56*G5</f>
        <v>16.328000000000003</v>
      </c>
      <c r="H16" s="16">
        <f t="shared" si="0"/>
        <v>195.93600000000004</v>
      </c>
      <c r="I16" s="17"/>
      <c r="J16" s="59" t="s">
        <v>45</v>
      </c>
      <c r="K16" s="59"/>
      <c r="L16" s="59"/>
      <c r="M16" s="59"/>
    </row>
    <row r="17" spans="1:13" ht="39" customHeight="1">
      <c r="A17" s="2" t="s">
        <v>15</v>
      </c>
      <c r="B17" s="2">
        <v>86901</v>
      </c>
      <c r="C17" s="2" t="s">
        <v>46</v>
      </c>
      <c r="D17" s="1" t="s">
        <v>47</v>
      </c>
      <c r="E17" s="2" t="s">
        <v>7</v>
      </c>
      <c r="F17" s="16">
        <v>12</v>
      </c>
      <c r="G17" s="16">
        <f>123.62*G5</f>
        <v>160.70600000000002</v>
      </c>
      <c r="H17" s="16">
        <f t="shared" si="0"/>
        <v>1928.4720000000002</v>
      </c>
      <c r="I17" s="17"/>
      <c r="J17" s="59" t="s">
        <v>48</v>
      </c>
      <c r="K17" s="59"/>
      <c r="L17" s="59"/>
      <c r="M17" s="59"/>
    </row>
    <row r="18" spans="1:13" ht="39" customHeight="1">
      <c r="A18" s="2" t="s">
        <v>15</v>
      </c>
      <c r="B18" s="2">
        <v>86881</v>
      </c>
      <c r="C18" s="2" t="s">
        <v>49</v>
      </c>
      <c r="D18" s="1" t="s">
        <v>50</v>
      </c>
      <c r="E18" s="2" t="s">
        <v>7</v>
      </c>
      <c r="F18" s="16">
        <v>12</v>
      </c>
      <c r="G18" s="16">
        <f>133.78*G5</f>
        <v>173.91400000000002</v>
      </c>
      <c r="H18" s="16">
        <f t="shared" si="0"/>
        <v>2086.9680000000003</v>
      </c>
      <c r="I18" s="17"/>
      <c r="J18" s="59" t="s">
        <v>51</v>
      </c>
      <c r="K18" s="59"/>
      <c r="L18" s="59"/>
      <c r="M18" s="59"/>
    </row>
    <row r="19" spans="1:13" ht="51.75" customHeight="1">
      <c r="A19" s="2" t="s">
        <v>15</v>
      </c>
      <c r="B19" s="2">
        <v>86877</v>
      </c>
      <c r="C19" s="2" t="s">
        <v>52</v>
      </c>
      <c r="D19" s="1" t="s">
        <v>53</v>
      </c>
      <c r="E19" s="2" t="s">
        <v>7</v>
      </c>
      <c r="F19" s="16">
        <v>12</v>
      </c>
      <c r="G19" s="16">
        <f>27.52*G5</f>
        <v>35.776</v>
      </c>
      <c r="H19" s="16">
        <f t="shared" si="0"/>
        <v>429.312</v>
      </c>
      <c r="I19" s="17"/>
      <c r="J19" s="59" t="s">
        <v>54</v>
      </c>
      <c r="K19" s="59"/>
      <c r="L19" s="59"/>
      <c r="M19" s="59"/>
    </row>
    <row r="20" spans="1:13" ht="50.25" customHeight="1">
      <c r="A20" s="2" t="s">
        <v>15</v>
      </c>
      <c r="B20" s="2">
        <v>86915</v>
      </c>
      <c r="C20" s="2" t="s">
        <v>55</v>
      </c>
      <c r="D20" s="1" t="s">
        <v>56</v>
      </c>
      <c r="E20" s="2" t="s">
        <v>7</v>
      </c>
      <c r="F20" s="16">
        <v>12</v>
      </c>
      <c r="G20" s="16">
        <f>88.26*G5</f>
        <v>114.73800000000001</v>
      </c>
      <c r="H20" s="16">
        <f t="shared" si="0"/>
        <v>1376.8560000000002</v>
      </c>
      <c r="I20" s="17"/>
      <c r="J20" s="59" t="s">
        <v>57</v>
      </c>
      <c r="K20" s="59"/>
      <c r="L20" s="59"/>
      <c r="M20" s="59"/>
    </row>
    <row r="21" spans="1:13" ht="63" customHeight="1">
      <c r="A21" s="2" t="s">
        <v>15</v>
      </c>
      <c r="B21" s="2">
        <v>100865</v>
      </c>
      <c r="C21" s="2" t="s">
        <v>58</v>
      </c>
      <c r="D21" s="1" t="s">
        <v>59</v>
      </c>
      <c r="E21" s="2" t="s">
        <v>7</v>
      </c>
      <c r="F21" s="16">
        <v>4</v>
      </c>
      <c r="G21" s="16">
        <f>447.98*$G$5</f>
        <v>582.374</v>
      </c>
      <c r="H21" s="16">
        <f t="shared" si="0"/>
        <v>2329.496</v>
      </c>
      <c r="I21" s="17"/>
      <c r="J21" s="59" t="s">
        <v>60</v>
      </c>
      <c r="K21" s="59"/>
      <c r="L21" s="59"/>
      <c r="M21" s="59"/>
    </row>
    <row r="22" spans="1:13" ht="39" customHeight="1">
      <c r="A22" s="2" t="s">
        <v>15</v>
      </c>
      <c r="B22" s="2">
        <v>100872</v>
      </c>
      <c r="C22" s="2" t="s">
        <v>61</v>
      </c>
      <c r="D22" s="15" t="s">
        <v>62</v>
      </c>
      <c r="E22" s="2" t="s">
        <v>7</v>
      </c>
      <c r="F22" s="16">
        <v>8</v>
      </c>
      <c r="G22" s="16">
        <f>231.46*G5</f>
        <v>300.898</v>
      </c>
      <c r="H22" s="16">
        <f t="shared" si="0"/>
        <v>2407.184</v>
      </c>
      <c r="I22" s="19"/>
      <c r="J22" s="59" t="s">
        <v>63</v>
      </c>
      <c r="K22" s="59"/>
      <c r="L22" s="59"/>
      <c r="M22" s="59"/>
    </row>
    <row r="23" spans="1:13" ht="39" customHeight="1">
      <c r="A23" s="2" t="s">
        <v>15</v>
      </c>
      <c r="B23" s="2">
        <v>100874</v>
      </c>
      <c r="C23" s="2" t="s">
        <v>64</v>
      </c>
      <c r="D23" s="15" t="s">
        <v>65</v>
      </c>
      <c r="E23" s="2" t="s">
        <v>7</v>
      </c>
      <c r="F23" s="16">
        <v>4</v>
      </c>
      <c r="G23" s="16">
        <f>221.85*G5</f>
        <v>288.40500000000003</v>
      </c>
      <c r="H23" s="16">
        <f t="shared" si="0"/>
        <v>1153.6200000000001</v>
      </c>
      <c r="I23" s="19"/>
      <c r="J23" s="59" t="s">
        <v>66</v>
      </c>
      <c r="K23" s="59"/>
      <c r="L23" s="59"/>
      <c r="M23" s="59"/>
    </row>
    <row r="24" spans="1:13" ht="51" customHeight="1">
      <c r="A24" s="2" t="s">
        <v>15</v>
      </c>
      <c r="B24" s="2">
        <v>86931</v>
      </c>
      <c r="C24" s="2" t="s">
        <v>67</v>
      </c>
      <c r="D24" s="15" t="s">
        <v>68</v>
      </c>
      <c r="E24" s="2" t="s">
        <v>7</v>
      </c>
      <c r="F24" s="16">
        <v>1</v>
      </c>
      <c r="G24" s="16">
        <f>408.98*G5</f>
        <v>531.6740000000001</v>
      </c>
      <c r="H24" s="16">
        <f t="shared" si="0"/>
        <v>531.6740000000001</v>
      </c>
      <c r="I24" s="19"/>
      <c r="J24" s="59" t="s">
        <v>69</v>
      </c>
      <c r="K24" s="59"/>
      <c r="L24" s="59"/>
      <c r="M24" s="59"/>
    </row>
    <row r="25" spans="1:13" ht="63" customHeight="1">
      <c r="A25" s="2" t="s">
        <v>15</v>
      </c>
      <c r="B25" s="2">
        <v>86919</v>
      </c>
      <c r="C25" s="2" t="s">
        <v>70</v>
      </c>
      <c r="D25" s="1" t="s">
        <v>71</v>
      </c>
      <c r="E25" s="2" t="s">
        <v>7</v>
      </c>
      <c r="F25" s="16">
        <v>1</v>
      </c>
      <c r="G25" s="16">
        <f>744.47*G5</f>
        <v>967.811</v>
      </c>
      <c r="H25" s="16">
        <f t="shared" si="0"/>
        <v>967.811</v>
      </c>
      <c r="I25" s="19"/>
      <c r="J25" s="59" t="s">
        <v>72</v>
      </c>
      <c r="K25" s="59"/>
      <c r="L25" s="59"/>
      <c r="M25" s="59"/>
    </row>
    <row r="26" spans="1:13" ht="45" customHeight="1">
      <c r="A26" s="2" t="s">
        <v>15</v>
      </c>
      <c r="B26" s="2">
        <v>86914</v>
      </c>
      <c r="C26" s="2" t="s">
        <v>73</v>
      </c>
      <c r="D26" s="1" t="s">
        <v>74</v>
      </c>
      <c r="E26" s="2" t="s">
        <v>7</v>
      </c>
      <c r="F26" s="16">
        <v>1</v>
      </c>
      <c r="G26" s="16">
        <f>40.69*G5</f>
        <v>52.897</v>
      </c>
      <c r="H26" s="16">
        <f t="shared" si="0"/>
        <v>52.897</v>
      </c>
      <c r="I26" s="19"/>
      <c r="J26" s="59" t="s">
        <v>75</v>
      </c>
      <c r="K26" s="59"/>
      <c r="L26" s="59"/>
      <c r="M26" s="59"/>
    </row>
    <row r="27" spans="1:13" ht="53.25" customHeight="1">
      <c r="A27" s="2" t="s">
        <v>15</v>
      </c>
      <c r="B27" s="3">
        <v>86889</v>
      </c>
      <c r="C27" s="2" t="s">
        <v>76</v>
      </c>
      <c r="D27" s="15" t="s">
        <v>77</v>
      </c>
      <c r="E27" s="2" t="s">
        <v>7</v>
      </c>
      <c r="F27" s="16">
        <v>1</v>
      </c>
      <c r="G27" s="16">
        <f>548.07*G5</f>
        <v>712.4910000000001</v>
      </c>
      <c r="H27" s="16">
        <f t="shared" si="0"/>
        <v>712.4910000000001</v>
      </c>
      <c r="I27" s="19"/>
      <c r="J27" s="59" t="s">
        <v>78</v>
      </c>
      <c r="K27" s="59"/>
      <c r="L27" s="59"/>
      <c r="M27" s="59"/>
    </row>
    <row r="28" spans="1:13" ht="54.75" customHeight="1">
      <c r="A28" s="2" t="s">
        <v>15</v>
      </c>
      <c r="B28" s="3" t="s">
        <v>79</v>
      </c>
      <c r="C28" s="2" t="s">
        <v>80</v>
      </c>
      <c r="D28" s="15" t="s">
        <v>81</v>
      </c>
      <c r="E28" s="2" t="s">
        <v>18</v>
      </c>
      <c r="F28" s="16">
        <v>0.6</v>
      </c>
      <c r="G28" s="16">
        <f>608.97*G5</f>
        <v>791.6610000000001</v>
      </c>
      <c r="H28" s="16">
        <f t="shared" si="0"/>
        <v>474.9966</v>
      </c>
      <c r="I28" s="19"/>
      <c r="J28" s="59" t="s">
        <v>82</v>
      </c>
      <c r="K28" s="59"/>
      <c r="L28" s="59"/>
      <c r="M28" s="59"/>
    </row>
    <row r="29" spans="1:13" ht="48.75" customHeight="1">
      <c r="A29" s="2" t="s">
        <v>15</v>
      </c>
      <c r="B29" s="3">
        <v>100862</v>
      </c>
      <c r="C29" s="2" t="s">
        <v>83</v>
      </c>
      <c r="D29" s="1" t="s">
        <v>84</v>
      </c>
      <c r="E29" s="2" t="s">
        <v>7</v>
      </c>
      <c r="F29" s="16">
        <v>12</v>
      </c>
      <c r="G29" s="16">
        <f>39.25*G5</f>
        <v>51.025</v>
      </c>
      <c r="H29" s="16">
        <f t="shared" si="0"/>
        <v>612.3</v>
      </c>
      <c r="I29" s="19"/>
      <c r="J29" s="59" t="s">
        <v>85</v>
      </c>
      <c r="K29" s="59"/>
      <c r="L29" s="59"/>
      <c r="M29" s="59"/>
    </row>
    <row r="30" spans="1:13" ht="79.5" customHeight="1">
      <c r="A30" s="2" t="s">
        <v>15</v>
      </c>
      <c r="B30" s="2">
        <v>91785</v>
      </c>
      <c r="C30" s="2" t="s">
        <v>86</v>
      </c>
      <c r="D30" s="1" t="s">
        <v>87</v>
      </c>
      <c r="E30" s="2" t="s">
        <v>88</v>
      </c>
      <c r="F30" s="16">
        <v>60</v>
      </c>
      <c r="G30" s="16">
        <f>39.92*G5</f>
        <v>51.896</v>
      </c>
      <c r="H30" s="16">
        <f t="shared" si="0"/>
        <v>3113.76</v>
      </c>
      <c r="I30" s="19"/>
      <c r="J30" s="59" t="s">
        <v>89</v>
      </c>
      <c r="K30" s="59"/>
      <c r="L30" s="59"/>
      <c r="M30" s="59"/>
    </row>
    <row r="31" spans="1:13" ht="81" customHeight="1">
      <c r="A31" s="2" t="s">
        <v>15</v>
      </c>
      <c r="B31" s="2">
        <v>91792</v>
      </c>
      <c r="C31" s="2" t="s">
        <v>90</v>
      </c>
      <c r="D31" s="1" t="s">
        <v>91</v>
      </c>
      <c r="E31" s="2" t="s">
        <v>88</v>
      </c>
      <c r="F31" s="16">
        <v>18</v>
      </c>
      <c r="G31" s="16">
        <f>53.59*G5</f>
        <v>69.667</v>
      </c>
      <c r="H31" s="16">
        <f t="shared" si="0"/>
        <v>1254.006</v>
      </c>
      <c r="I31" s="19"/>
      <c r="J31" s="59" t="s">
        <v>92</v>
      </c>
      <c r="K31" s="59"/>
      <c r="L31" s="59"/>
      <c r="M31" s="59"/>
    </row>
    <row r="32" spans="1:13" ht="81" customHeight="1">
      <c r="A32" s="2" t="s">
        <v>15</v>
      </c>
      <c r="B32" s="2">
        <v>91795</v>
      </c>
      <c r="C32" s="2" t="s">
        <v>93</v>
      </c>
      <c r="D32" s="1" t="s">
        <v>94</v>
      </c>
      <c r="E32" s="2" t="s">
        <v>88</v>
      </c>
      <c r="F32" s="16">
        <v>12</v>
      </c>
      <c r="G32" s="16">
        <f>67.79*G5</f>
        <v>88.12700000000001</v>
      </c>
      <c r="H32" s="16">
        <f t="shared" si="0"/>
        <v>1057.5240000000001</v>
      </c>
      <c r="I32" s="19"/>
      <c r="J32" s="59" t="s">
        <v>95</v>
      </c>
      <c r="K32" s="59"/>
      <c r="L32" s="59"/>
      <c r="M32" s="59"/>
    </row>
    <row r="33" spans="1:13" ht="24.75" customHeight="1">
      <c r="A33" s="2" t="s">
        <v>20</v>
      </c>
      <c r="B33" s="2" t="s">
        <v>96</v>
      </c>
      <c r="C33" s="2" t="s">
        <v>97</v>
      </c>
      <c r="D33" s="1" t="s">
        <v>98</v>
      </c>
      <c r="E33" s="2" t="s">
        <v>7</v>
      </c>
      <c r="F33" s="16">
        <v>1</v>
      </c>
      <c r="G33" s="16">
        <f>12.76*G5</f>
        <v>16.588</v>
      </c>
      <c r="H33" s="16">
        <f t="shared" si="0"/>
        <v>16.588</v>
      </c>
      <c r="I33" s="19"/>
      <c r="J33" s="59" t="s">
        <v>99</v>
      </c>
      <c r="K33" s="59"/>
      <c r="L33" s="59"/>
      <c r="M33" s="59"/>
    </row>
    <row r="34" spans="1:13" ht="24.75" customHeight="1">
      <c r="A34" s="2" t="s">
        <v>20</v>
      </c>
      <c r="B34" s="2" t="s">
        <v>100</v>
      </c>
      <c r="C34" s="2" t="s">
        <v>101</v>
      </c>
      <c r="D34" s="1" t="s">
        <v>102</v>
      </c>
      <c r="E34" s="2" t="s">
        <v>7</v>
      </c>
      <c r="F34" s="16">
        <v>19</v>
      </c>
      <c r="G34" s="16">
        <f>34.3*G5</f>
        <v>44.589999999999996</v>
      </c>
      <c r="H34" s="16">
        <f t="shared" si="0"/>
        <v>847.2099999999999</v>
      </c>
      <c r="I34" s="19"/>
      <c r="J34" s="59" t="s">
        <v>103</v>
      </c>
      <c r="K34" s="59"/>
      <c r="L34" s="59"/>
      <c r="M34" s="59"/>
    </row>
    <row r="35" spans="1:13" ht="52.5" customHeight="1">
      <c r="A35" s="2" t="s">
        <v>15</v>
      </c>
      <c r="B35" s="2">
        <v>99635</v>
      </c>
      <c r="C35" s="2" t="s">
        <v>104</v>
      </c>
      <c r="D35" s="1" t="s">
        <v>105</v>
      </c>
      <c r="E35" s="2" t="s">
        <v>7</v>
      </c>
      <c r="F35" s="16">
        <v>6</v>
      </c>
      <c r="G35" s="16">
        <f>271.79*G5</f>
        <v>353.32700000000006</v>
      </c>
      <c r="H35" s="16">
        <f t="shared" si="0"/>
        <v>2119.9620000000004</v>
      </c>
      <c r="I35" s="19"/>
      <c r="J35" s="59" t="s">
        <v>106</v>
      </c>
      <c r="K35" s="59"/>
      <c r="L35" s="59"/>
      <c r="M35" s="59"/>
    </row>
    <row r="36" spans="1:13" ht="24.75" customHeight="1">
      <c r="A36" s="10"/>
      <c r="B36" s="10"/>
      <c r="C36" s="8" t="s">
        <v>107</v>
      </c>
      <c r="D36" s="20" t="s">
        <v>108</v>
      </c>
      <c r="E36" s="10"/>
      <c r="F36" s="11"/>
      <c r="G36" s="11"/>
      <c r="H36" s="12">
        <f>SUM(H37:H46)</f>
        <v>4474.704000000001</v>
      </c>
      <c r="I36" s="13">
        <f>H36/H67</f>
        <v>0.03331826837960429</v>
      </c>
      <c r="J36" s="65"/>
      <c r="K36" s="65"/>
      <c r="L36" s="65"/>
      <c r="M36" s="65"/>
    </row>
    <row r="37" spans="1:13" s="25" customFormat="1" ht="36.75" customHeight="1">
      <c r="A37" s="21" t="s">
        <v>15</v>
      </c>
      <c r="B37" s="21">
        <v>97665</v>
      </c>
      <c r="C37" s="21" t="s">
        <v>109</v>
      </c>
      <c r="D37" s="22" t="s">
        <v>110</v>
      </c>
      <c r="E37" s="21" t="s">
        <v>111</v>
      </c>
      <c r="F37" s="23">
        <v>10</v>
      </c>
      <c r="G37" s="23">
        <f>1.09*G5</f>
        <v>1.4170000000000003</v>
      </c>
      <c r="H37" s="23">
        <f aca="true" t="shared" si="1" ref="H37:H46">F37*G37</f>
        <v>14.170000000000002</v>
      </c>
      <c r="I37" s="24"/>
      <c r="J37" s="68"/>
      <c r="K37" s="68"/>
      <c r="L37" s="68"/>
      <c r="M37" s="68"/>
    </row>
    <row r="38" spans="1:13" s="25" customFormat="1" ht="46.5" customHeight="1">
      <c r="A38" s="21" t="s">
        <v>20</v>
      </c>
      <c r="B38" s="21">
        <v>4131040</v>
      </c>
      <c r="C38" s="21" t="s">
        <v>112</v>
      </c>
      <c r="D38" s="22" t="s">
        <v>113</v>
      </c>
      <c r="E38" s="21" t="s">
        <v>111</v>
      </c>
      <c r="F38" s="23">
        <v>10</v>
      </c>
      <c r="G38" s="23">
        <f>297.74*G5</f>
        <v>387.062</v>
      </c>
      <c r="H38" s="23">
        <f t="shared" si="1"/>
        <v>3870.62</v>
      </c>
      <c r="I38" s="24"/>
      <c r="J38" s="68" t="s">
        <v>114</v>
      </c>
      <c r="K38" s="68"/>
      <c r="L38" s="68"/>
      <c r="M38" s="68"/>
    </row>
    <row r="39" spans="1:13" s="25" customFormat="1" ht="53.25" customHeight="1">
      <c r="A39" s="21" t="s">
        <v>15</v>
      </c>
      <c r="B39" s="21">
        <v>97660</v>
      </c>
      <c r="C39" s="21" t="s">
        <v>115</v>
      </c>
      <c r="D39" s="22" t="s">
        <v>116</v>
      </c>
      <c r="E39" s="21" t="s">
        <v>111</v>
      </c>
      <c r="F39" s="23">
        <v>2</v>
      </c>
      <c r="G39" s="23">
        <f>0.56*G5</f>
        <v>0.7280000000000001</v>
      </c>
      <c r="H39" s="23">
        <f t="shared" si="1"/>
        <v>1.4560000000000002</v>
      </c>
      <c r="I39" s="24"/>
      <c r="J39" s="66"/>
      <c r="K39" s="66"/>
      <c r="L39" s="66"/>
      <c r="M39" s="66"/>
    </row>
    <row r="40" spans="1:13" s="25" customFormat="1" ht="49.5" customHeight="1">
      <c r="A40" s="21" t="s">
        <v>15</v>
      </c>
      <c r="B40" s="21">
        <v>97662</v>
      </c>
      <c r="C40" s="21" t="s">
        <v>117</v>
      </c>
      <c r="D40" s="22" t="s">
        <v>118</v>
      </c>
      <c r="E40" s="21" t="s">
        <v>88</v>
      </c>
      <c r="F40" s="23">
        <v>5</v>
      </c>
      <c r="G40" s="23">
        <f>0.42*G5</f>
        <v>0.546</v>
      </c>
      <c r="H40" s="23">
        <f t="shared" si="1"/>
        <v>2.7300000000000004</v>
      </c>
      <c r="I40" s="24"/>
      <c r="J40" s="66"/>
      <c r="K40" s="66"/>
      <c r="L40" s="66"/>
      <c r="M40" s="66"/>
    </row>
    <row r="41" spans="1:13" s="25" customFormat="1" ht="53.25" customHeight="1">
      <c r="A41" s="21" t="s">
        <v>15</v>
      </c>
      <c r="B41" s="21">
        <v>95750</v>
      </c>
      <c r="C41" s="21" t="s">
        <v>119</v>
      </c>
      <c r="D41" s="22" t="s">
        <v>120</v>
      </c>
      <c r="E41" s="21" t="s">
        <v>88</v>
      </c>
      <c r="F41" s="23">
        <v>5</v>
      </c>
      <c r="G41" s="23">
        <f>28.2*G5</f>
        <v>36.660000000000004</v>
      </c>
      <c r="H41" s="23">
        <f t="shared" si="1"/>
        <v>183.3</v>
      </c>
      <c r="I41" s="24"/>
      <c r="J41" s="66"/>
      <c r="K41" s="66"/>
      <c r="L41" s="66"/>
      <c r="M41" s="66"/>
    </row>
    <row r="42" spans="1:13" s="25" customFormat="1" ht="83.25" customHeight="1">
      <c r="A42" s="21" t="s">
        <v>15</v>
      </c>
      <c r="B42" s="21">
        <v>91173</v>
      </c>
      <c r="C42" s="21" t="s">
        <v>121</v>
      </c>
      <c r="D42" s="22" t="s">
        <v>122</v>
      </c>
      <c r="E42" s="21" t="s">
        <v>88</v>
      </c>
      <c r="F42" s="23">
        <v>5</v>
      </c>
      <c r="G42" s="23">
        <f>1.16*G5</f>
        <v>1.508</v>
      </c>
      <c r="H42" s="23">
        <f t="shared" si="1"/>
        <v>7.54</v>
      </c>
      <c r="I42" s="24"/>
      <c r="J42" s="66"/>
      <c r="K42" s="66"/>
      <c r="L42" s="66"/>
      <c r="M42" s="66"/>
    </row>
    <row r="43" spans="1:13" s="25" customFormat="1" ht="62.25" customHeight="1">
      <c r="A43" s="21" t="s">
        <v>15</v>
      </c>
      <c r="B43" s="21">
        <v>95758</v>
      </c>
      <c r="C43" s="21" t="s">
        <v>123</v>
      </c>
      <c r="D43" s="22" t="s">
        <v>124</v>
      </c>
      <c r="E43" s="21" t="s">
        <v>111</v>
      </c>
      <c r="F43" s="23">
        <v>2</v>
      </c>
      <c r="G43" s="23">
        <f>10.59*G5</f>
        <v>13.767</v>
      </c>
      <c r="H43" s="23">
        <f t="shared" si="1"/>
        <v>27.534</v>
      </c>
      <c r="I43" s="24"/>
      <c r="J43" s="66"/>
      <c r="K43" s="66"/>
      <c r="L43" s="66"/>
      <c r="M43" s="66"/>
    </row>
    <row r="44" spans="1:13" s="25" customFormat="1" ht="53.25" customHeight="1">
      <c r="A44" s="21" t="s">
        <v>15</v>
      </c>
      <c r="B44" s="21">
        <v>91926</v>
      </c>
      <c r="C44" s="21" t="s">
        <v>125</v>
      </c>
      <c r="D44" s="22" t="s">
        <v>126</v>
      </c>
      <c r="E44" s="21" t="s">
        <v>88</v>
      </c>
      <c r="F44" s="23">
        <v>50</v>
      </c>
      <c r="G44" s="23">
        <f>3.59*G5</f>
        <v>4.667</v>
      </c>
      <c r="H44" s="23">
        <f t="shared" si="1"/>
        <v>233.35</v>
      </c>
      <c r="I44" s="24"/>
      <c r="J44" s="66"/>
      <c r="K44" s="66"/>
      <c r="L44" s="66"/>
      <c r="M44" s="66"/>
    </row>
    <row r="45" spans="1:13" s="25" customFormat="1" ht="68.25" customHeight="1">
      <c r="A45" s="21" t="s">
        <v>15</v>
      </c>
      <c r="B45" s="21">
        <v>95782</v>
      </c>
      <c r="C45" s="21" t="s">
        <v>127</v>
      </c>
      <c r="D45" s="22" t="s">
        <v>128</v>
      </c>
      <c r="E45" s="21" t="s">
        <v>111</v>
      </c>
      <c r="F45" s="23">
        <v>2</v>
      </c>
      <c r="G45" s="23">
        <f>30.65*G5</f>
        <v>39.845</v>
      </c>
      <c r="H45" s="23">
        <f t="shared" si="1"/>
        <v>79.69</v>
      </c>
      <c r="I45" s="24"/>
      <c r="J45" s="66"/>
      <c r="K45" s="66"/>
      <c r="L45" s="66"/>
      <c r="M45" s="66"/>
    </row>
    <row r="46" spans="1:13" s="25" customFormat="1" ht="68.25" customHeight="1">
      <c r="A46" s="21" t="s">
        <v>15</v>
      </c>
      <c r="B46" s="21">
        <v>91953</v>
      </c>
      <c r="C46" s="21" t="s">
        <v>129</v>
      </c>
      <c r="D46" s="22" t="s">
        <v>130</v>
      </c>
      <c r="E46" s="21" t="s">
        <v>111</v>
      </c>
      <c r="F46" s="23">
        <v>2</v>
      </c>
      <c r="G46" s="23">
        <f>20.89*G5</f>
        <v>27.157</v>
      </c>
      <c r="H46" s="23">
        <f t="shared" si="1"/>
        <v>54.314</v>
      </c>
      <c r="I46" s="24"/>
      <c r="J46" s="66"/>
      <c r="K46" s="66"/>
      <c r="L46" s="66"/>
      <c r="M46" s="66"/>
    </row>
    <row r="47" spans="1:13" ht="24.75" customHeight="1">
      <c r="A47" s="7"/>
      <c r="B47" s="7"/>
      <c r="C47" s="8" t="s">
        <v>131</v>
      </c>
      <c r="D47" s="9" t="s">
        <v>132</v>
      </c>
      <c r="E47" s="10"/>
      <c r="F47" s="11"/>
      <c r="G47" s="10"/>
      <c r="H47" s="12">
        <f>SUM(H48:H50)</f>
        <v>2133.91308</v>
      </c>
      <c r="I47" s="13">
        <f>H47/H67</f>
        <v>0.015888936720325632</v>
      </c>
      <c r="J47" s="67"/>
      <c r="K47" s="67"/>
      <c r="L47" s="67"/>
      <c r="M47" s="67"/>
    </row>
    <row r="48" spans="1:13" ht="34.5" customHeight="1">
      <c r="A48" s="21" t="s">
        <v>15</v>
      </c>
      <c r="B48" s="26">
        <v>88495</v>
      </c>
      <c r="C48" s="21" t="s">
        <v>133</v>
      </c>
      <c r="D48" s="22" t="s">
        <v>134</v>
      </c>
      <c r="E48" s="21" t="s">
        <v>18</v>
      </c>
      <c r="F48" s="23">
        <v>1.04</v>
      </c>
      <c r="G48" s="16">
        <f>9.93*G5</f>
        <v>12.909</v>
      </c>
      <c r="H48" s="23">
        <f>F48*G48</f>
        <v>13.425360000000001</v>
      </c>
      <c r="I48" s="24"/>
      <c r="J48" s="68" t="s">
        <v>135</v>
      </c>
      <c r="K48" s="68"/>
      <c r="L48" s="68"/>
      <c r="M48" s="68"/>
    </row>
    <row r="49" spans="1:13" s="25" customFormat="1" ht="37.5" customHeight="1">
      <c r="A49" s="21" t="s">
        <v>15</v>
      </c>
      <c r="B49" s="21">
        <v>88489</v>
      </c>
      <c r="C49" s="21" t="s">
        <v>136</v>
      </c>
      <c r="D49" s="27" t="s">
        <v>137</v>
      </c>
      <c r="E49" s="21" t="s">
        <v>18</v>
      </c>
      <c r="F49" s="23">
        <f>36.3+1.04</f>
        <v>37.339999999999996</v>
      </c>
      <c r="G49" s="16">
        <f>13.76*G5</f>
        <v>17.888</v>
      </c>
      <c r="H49" s="23">
        <f>F49*G49</f>
        <v>667.93792</v>
      </c>
      <c r="I49" s="24"/>
      <c r="J49" s="68" t="s">
        <v>138</v>
      </c>
      <c r="K49" s="68"/>
      <c r="L49" s="68"/>
      <c r="M49" s="68"/>
    </row>
    <row r="50" spans="1:13" ht="43.5" customHeight="1">
      <c r="A50" s="2" t="s">
        <v>15</v>
      </c>
      <c r="B50" s="2">
        <v>88492</v>
      </c>
      <c r="C50" s="2" t="s">
        <v>139</v>
      </c>
      <c r="D50" s="15" t="s">
        <v>140</v>
      </c>
      <c r="E50" s="2" t="s">
        <v>18</v>
      </c>
      <c r="F50" s="16">
        <f>104.37+1.04</f>
        <v>105.41000000000001</v>
      </c>
      <c r="G50" s="16">
        <f>10.6*G5</f>
        <v>13.78</v>
      </c>
      <c r="H50" s="16">
        <f>F50*G50</f>
        <v>1452.5498</v>
      </c>
      <c r="I50" s="17"/>
      <c r="J50" s="59" t="s">
        <v>141</v>
      </c>
      <c r="K50" s="59"/>
      <c r="L50" s="59"/>
      <c r="M50" s="59"/>
    </row>
    <row r="51" spans="1:13" ht="24.75" customHeight="1">
      <c r="A51" s="10"/>
      <c r="B51" s="10"/>
      <c r="C51" s="8" t="s">
        <v>142</v>
      </c>
      <c r="D51" s="20" t="s">
        <v>143</v>
      </c>
      <c r="E51" s="10"/>
      <c r="F51" s="28"/>
      <c r="G51" s="11"/>
      <c r="H51" s="12">
        <f>H52</f>
        <v>28345.8929</v>
      </c>
      <c r="I51" s="13">
        <f>H51/H67</f>
        <v>0.21106112652406048</v>
      </c>
      <c r="J51" s="65"/>
      <c r="K51" s="65"/>
      <c r="L51" s="65"/>
      <c r="M51" s="65"/>
    </row>
    <row r="52" spans="1:13" ht="60.75" customHeight="1">
      <c r="A52" s="2" t="s">
        <v>15</v>
      </c>
      <c r="B52" s="2">
        <v>102253</v>
      </c>
      <c r="C52" s="2" t="s">
        <v>144</v>
      </c>
      <c r="D52" s="1" t="s">
        <v>145</v>
      </c>
      <c r="E52" s="2" t="s">
        <v>18</v>
      </c>
      <c r="F52" s="29">
        <v>36.86</v>
      </c>
      <c r="G52" s="16">
        <f>591.55*G5</f>
        <v>769.015</v>
      </c>
      <c r="H52" s="16">
        <f>F52*G52</f>
        <v>28345.8929</v>
      </c>
      <c r="I52" s="17"/>
      <c r="J52" s="59" t="s">
        <v>146</v>
      </c>
      <c r="K52" s="59"/>
      <c r="L52" s="59"/>
      <c r="M52" s="59"/>
    </row>
    <row r="53" spans="1:13" ht="36.75" customHeight="1">
      <c r="A53" s="10"/>
      <c r="B53" s="18"/>
      <c r="C53" s="8" t="s">
        <v>147</v>
      </c>
      <c r="D53" s="20" t="s">
        <v>148</v>
      </c>
      <c r="E53" s="10"/>
      <c r="F53" s="11"/>
      <c r="G53" s="11"/>
      <c r="H53" s="12">
        <f>H54</f>
        <v>290.5344</v>
      </c>
      <c r="I53" s="13">
        <f>H53/H67</f>
        <v>0.002163294625232709</v>
      </c>
      <c r="J53" s="62"/>
      <c r="K53" s="62"/>
      <c r="L53" s="62"/>
      <c r="M53" s="62"/>
    </row>
    <row r="54" spans="1:13" ht="36.75" customHeight="1">
      <c r="A54" s="2" t="s">
        <v>15</v>
      </c>
      <c r="B54" s="3">
        <v>97644</v>
      </c>
      <c r="C54" s="2" t="s">
        <v>149</v>
      </c>
      <c r="D54" s="1" t="s">
        <v>150</v>
      </c>
      <c r="E54" s="2" t="s">
        <v>18</v>
      </c>
      <c r="F54" s="16">
        <v>29.1</v>
      </c>
      <c r="G54" s="16">
        <f>7.68*G5</f>
        <v>9.984</v>
      </c>
      <c r="H54" s="16">
        <f>F54*G54</f>
        <v>290.5344</v>
      </c>
      <c r="I54" s="5"/>
      <c r="J54" s="64" t="s">
        <v>151</v>
      </c>
      <c r="K54" s="64"/>
      <c r="L54" s="64"/>
      <c r="M54" s="64"/>
    </row>
    <row r="55" spans="1:13" ht="36.75" customHeight="1">
      <c r="A55" s="10"/>
      <c r="B55" s="18"/>
      <c r="C55" s="8" t="s">
        <v>152</v>
      </c>
      <c r="D55" s="20" t="s">
        <v>153</v>
      </c>
      <c r="E55" s="10"/>
      <c r="F55" s="11"/>
      <c r="G55" s="11"/>
      <c r="H55" s="12">
        <f>H56+H58+H57</f>
        <v>625.326</v>
      </c>
      <c r="I55" s="13">
        <f>H55/H67</f>
        <v>0.0046561246269573205</v>
      </c>
      <c r="J55" s="62"/>
      <c r="K55" s="62"/>
      <c r="L55" s="62"/>
      <c r="M55" s="62"/>
    </row>
    <row r="56" spans="1:13" ht="36.75" customHeight="1">
      <c r="A56" s="2" t="s">
        <v>20</v>
      </c>
      <c r="B56" s="3" t="s">
        <v>154</v>
      </c>
      <c r="C56" s="2" t="s">
        <v>155</v>
      </c>
      <c r="D56" s="1" t="s">
        <v>156</v>
      </c>
      <c r="E56" s="2" t="s">
        <v>18</v>
      </c>
      <c r="F56" s="16">
        <v>0.9</v>
      </c>
      <c r="G56" s="16">
        <f>43.28*G5</f>
        <v>56.264</v>
      </c>
      <c r="H56" s="16">
        <f>F56*G56</f>
        <v>50.637600000000006</v>
      </c>
      <c r="I56" s="5"/>
      <c r="J56" s="64" t="s">
        <v>157</v>
      </c>
      <c r="K56" s="64"/>
      <c r="L56" s="64"/>
      <c r="M56" s="64"/>
    </row>
    <row r="57" spans="1:13" ht="36.75" customHeight="1">
      <c r="A57" s="2" t="s">
        <v>20</v>
      </c>
      <c r="B57" s="3" t="s">
        <v>154</v>
      </c>
      <c r="C57" s="2" t="s">
        <v>158</v>
      </c>
      <c r="D57" s="1" t="s">
        <v>156</v>
      </c>
      <c r="E57" s="2" t="s">
        <v>18</v>
      </c>
      <c r="F57" s="16">
        <f>7.6+0.5</f>
        <v>8.1</v>
      </c>
      <c r="G57" s="16">
        <f>43.28*G5</f>
        <v>56.264</v>
      </c>
      <c r="H57" s="16">
        <f>F57*G57</f>
        <v>455.7384</v>
      </c>
      <c r="I57" s="5"/>
      <c r="J57" s="59" t="s">
        <v>159</v>
      </c>
      <c r="K57" s="59"/>
      <c r="L57" s="59"/>
      <c r="M57" s="59"/>
    </row>
    <row r="58" spans="1:13" ht="36.75" customHeight="1">
      <c r="A58" s="2" t="s">
        <v>20</v>
      </c>
      <c r="B58" s="3" t="s">
        <v>160</v>
      </c>
      <c r="C58" s="2" t="s">
        <v>161</v>
      </c>
      <c r="D58" s="1" t="s">
        <v>162</v>
      </c>
      <c r="E58" s="2" t="s">
        <v>7</v>
      </c>
      <c r="F58" s="16">
        <v>3</v>
      </c>
      <c r="G58" s="16">
        <f>30.5*G5</f>
        <v>39.65</v>
      </c>
      <c r="H58" s="16">
        <f>F58*G58</f>
        <v>118.94999999999999</v>
      </c>
      <c r="I58" s="5"/>
      <c r="J58" s="64" t="s">
        <v>163</v>
      </c>
      <c r="K58" s="64"/>
      <c r="L58" s="64"/>
      <c r="M58" s="64"/>
    </row>
    <row r="59" spans="1:13" ht="36.75" customHeight="1">
      <c r="A59" s="10"/>
      <c r="B59" s="18"/>
      <c r="C59" s="8" t="s">
        <v>164</v>
      </c>
      <c r="D59" s="20" t="s">
        <v>165</v>
      </c>
      <c r="E59" s="10"/>
      <c r="F59" s="11"/>
      <c r="G59" s="11"/>
      <c r="H59" s="12">
        <f>H60</f>
        <v>497.8428</v>
      </c>
      <c r="I59" s="13">
        <f>H59/H67</f>
        <v>0.003706895477612298</v>
      </c>
      <c r="J59" s="62"/>
      <c r="K59" s="62"/>
      <c r="L59" s="62"/>
      <c r="M59" s="62"/>
    </row>
    <row r="60" spans="1:13" ht="51" customHeight="1">
      <c r="A60" s="2" t="s">
        <v>20</v>
      </c>
      <c r="B60" s="2" t="s">
        <v>166</v>
      </c>
      <c r="C60" s="2" t="s">
        <v>167</v>
      </c>
      <c r="D60" s="1" t="s">
        <v>168</v>
      </c>
      <c r="E60" s="2" t="s">
        <v>18</v>
      </c>
      <c r="F60" s="29">
        <v>28.2</v>
      </c>
      <c r="G60" s="16">
        <f>13.58*G5</f>
        <v>17.654</v>
      </c>
      <c r="H60" s="16">
        <f>F60*G60</f>
        <v>497.8428</v>
      </c>
      <c r="I60" s="30"/>
      <c r="J60" s="59" t="s">
        <v>169</v>
      </c>
      <c r="K60" s="59"/>
      <c r="L60" s="59"/>
      <c r="M60" s="59"/>
    </row>
    <row r="61" spans="1:13" ht="36.75" customHeight="1">
      <c r="A61" s="10"/>
      <c r="B61" s="18"/>
      <c r="C61" s="8" t="s">
        <v>170</v>
      </c>
      <c r="D61" s="20" t="s">
        <v>171</v>
      </c>
      <c r="E61" s="10"/>
      <c r="F61" s="11"/>
      <c r="G61" s="11"/>
      <c r="H61" s="12">
        <f>H62</f>
        <v>1673.2462500000001</v>
      </c>
      <c r="I61" s="13">
        <f>H61/H67</f>
        <v>0.012458850378185116</v>
      </c>
      <c r="J61" s="62"/>
      <c r="K61" s="62"/>
      <c r="L61" s="62"/>
      <c r="M61" s="62"/>
    </row>
    <row r="62" spans="1:13" ht="36.75" customHeight="1">
      <c r="A62" s="2" t="s">
        <v>20</v>
      </c>
      <c r="B62" s="2" t="s">
        <v>172</v>
      </c>
      <c r="C62" s="2" t="s">
        <v>173</v>
      </c>
      <c r="D62" s="1" t="s">
        <v>174</v>
      </c>
      <c r="E62" s="2" t="s">
        <v>18</v>
      </c>
      <c r="F62" s="29">
        <v>3.825</v>
      </c>
      <c r="G62" s="16">
        <f>336.5*G5</f>
        <v>437.45</v>
      </c>
      <c r="H62" s="16">
        <f>F62*G62</f>
        <v>1673.2462500000001</v>
      </c>
      <c r="I62" s="30"/>
      <c r="J62" s="63" t="s">
        <v>175</v>
      </c>
      <c r="K62" s="63"/>
      <c r="L62" s="63"/>
      <c r="M62" s="63"/>
    </row>
    <row r="63" spans="1:13" ht="36.75" customHeight="1">
      <c r="A63" s="10"/>
      <c r="B63" s="18"/>
      <c r="C63" s="8" t="s">
        <v>176</v>
      </c>
      <c r="D63" s="20" t="s">
        <v>177</v>
      </c>
      <c r="E63" s="10"/>
      <c r="F63" s="11"/>
      <c r="G63" s="11"/>
      <c r="H63" s="12">
        <f>SUM(H64:H66)</f>
        <v>4349.4321</v>
      </c>
      <c r="I63" s="13">
        <f>H63/H67</f>
        <v>0.0323855043834555</v>
      </c>
      <c r="J63" s="62"/>
      <c r="K63" s="62"/>
      <c r="L63" s="62"/>
      <c r="M63" s="62"/>
    </row>
    <row r="64" spans="1:13" ht="36.75" customHeight="1">
      <c r="A64" s="2" t="s">
        <v>15</v>
      </c>
      <c r="B64" s="2">
        <v>94229</v>
      </c>
      <c r="C64" s="2" t="s">
        <v>178</v>
      </c>
      <c r="D64" s="1" t="s">
        <v>179</v>
      </c>
      <c r="E64" s="21" t="s">
        <v>88</v>
      </c>
      <c r="F64" s="29">
        <v>9.3</v>
      </c>
      <c r="G64" s="16">
        <f>204.2*G5</f>
        <v>265.46</v>
      </c>
      <c r="H64" s="16">
        <f>F64*G64</f>
        <v>2468.778</v>
      </c>
      <c r="I64" s="30"/>
      <c r="J64" s="59" t="s">
        <v>180</v>
      </c>
      <c r="K64" s="59"/>
      <c r="L64" s="59"/>
      <c r="M64" s="59"/>
    </row>
    <row r="65" spans="1:13" ht="36.75" customHeight="1">
      <c r="A65" s="2" t="s">
        <v>15</v>
      </c>
      <c r="B65" s="2">
        <v>94231</v>
      </c>
      <c r="C65" s="2" t="s">
        <v>181</v>
      </c>
      <c r="D65" s="1" t="s">
        <v>182</v>
      </c>
      <c r="E65" s="21" t="s">
        <v>88</v>
      </c>
      <c r="F65" s="29">
        <v>9.3</v>
      </c>
      <c r="G65" s="16">
        <f>61.49*G5</f>
        <v>79.93700000000001</v>
      </c>
      <c r="H65" s="16">
        <f>F65*G65</f>
        <v>743.4141000000002</v>
      </c>
      <c r="I65" s="30"/>
      <c r="J65" s="59" t="s">
        <v>183</v>
      </c>
      <c r="K65" s="59"/>
      <c r="L65" s="59"/>
      <c r="M65" s="59"/>
    </row>
    <row r="66" spans="1:13" ht="93" customHeight="1">
      <c r="A66" s="2" t="s">
        <v>15</v>
      </c>
      <c r="B66" s="2">
        <v>91790</v>
      </c>
      <c r="C66" s="2" t="s">
        <v>184</v>
      </c>
      <c r="D66" s="1" t="s">
        <v>185</v>
      </c>
      <c r="E66" s="21" t="s">
        <v>88</v>
      </c>
      <c r="F66" s="29">
        <v>12</v>
      </c>
      <c r="G66" s="16">
        <f>72.9*G5</f>
        <v>94.77000000000001</v>
      </c>
      <c r="H66" s="16">
        <f>F66*G66</f>
        <v>1137.2400000000002</v>
      </c>
      <c r="I66" s="30"/>
      <c r="J66" s="59" t="s">
        <v>186</v>
      </c>
      <c r="K66" s="59"/>
      <c r="L66" s="59"/>
      <c r="M66" s="59"/>
    </row>
    <row r="67" spans="1:13" ht="33.75" customHeight="1">
      <c r="A67" s="7"/>
      <c r="B67" s="7"/>
      <c r="C67" s="8"/>
      <c r="D67" s="9" t="s">
        <v>187</v>
      </c>
      <c r="E67" s="7"/>
      <c r="F67" s="7"/>
      <c r="G67" s="7"/>
      <c r="H67" s="12">
        <f>H6+H10+H12+H14+H36+H47+H51+H53+H55+H59+H61+H63</f>
        <v>134301.81751999998</v>
      </c>
      <c r="I67" s="13">
        <f>H67/H67</f>
        <v>1</v>
      </c>
      <c r="J67" s="60"/>
      <c r="K67" s="60"/>
      <c r="L67" s="60"/>
      <c r="M67" s="60"/>
    </row>
    <row r="68" spans="1:13" ht="15.75">
      <c r="A68" s="61" t="s">
        <v>188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5.75">
      <c r="A69" s="61" t="s">
        <v>189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5.75">
      <c r="A70" s="61" t="s">
        <v>190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</sheetData>
  <sheetProtection/>
  <mergeCells count="71">
    <mergeCell ref="A1:M1"/>
    <mergeCell ref="A2:M2"/>
    <mergeCell ref="A3:M3"/>
    <mergeCell ref="J4:M4"/>
    <mergeCell ref="C5:D5"/>
    <mergeCell ref="J5:M5"/>
    <mergeCell ref="J6:M6"/>
    <mergeCell ref="J7:M7"/>
    <mergeCell ref="J8:M8"/>
    <mergeCell ref="J9:M9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A68:M68"/>
    <mergeCell ref="A69:M69"/>
    <mergeCell ref="A70:M70"/>
  </mergeCells>
  <printOptions horizontalCentered="1"/>
  <pageMargins left="0.511805555555555" right="0.511805555555555" top="0.7875" bottom="0.7875" header="0.511805555555555" footer="0.511805555555555"/>
  <pageSetup horizontalDpi="300" verticalDpi="300" orientation="portrait" paperSize="9" scale="41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view="pageBreakPreview" zoomScaleSheetLayoutView="100" zoomScalePageLayoutView="0" workbookViewId="0" topLeftCell="A1">
      <selection activeCell="E25" sqref="E25"/>
    </sheetView>
  </sheetViews>
  <sheetFormatPr defaultColWidth="8.7109375" defaultRowHeight="15"/>
  <sheetData>
    <row r="2" spans="1:9" ht="16.5">
      <c r="A2" s="31"/>
      <c r="B2" s="77" t="s">
        <v>191</v>
      </c>
      <c r="C2" s="77"/>
      <c r="D2" s="77"/>
      <c r="E2" s="77"/>
      <c r="F2" s="77"/>
      <c r="G2" s="77"/>
      <c r="H2" s="32"/>
      <c r="I2" s="33"/>
    </row>
    <row r="3" spans="1:9" ht="15">
      <c r="A3" s="34"/>
      <c r="B3" s="35"/>
      <c r="C3" s="35"/>
      <c r="D3" s="35"/>
      <c r="E3" s="35"/>
      <c r="F3" s="35"/>
      <c r="G3" s="35"/>
      <c r="H3" s="35"/>
      <c r="I3" s="36"/>
    </row>
    <row r="4" spans="1:9" ht="15">
      <c r="A4" s="34"/>
      <c r="B4" s="35"/>
      <c r="C4" s="35"/>
      <c r="D4" s="35"/>
      <c r="E4" s="35"/>
      <c r="F4" s="35"/>
      <c r="G4" s="35"/>
      <c r="H4" s="35"/>
      <c r="I4" s="36"/>
    </row>
    <row r="5" spans="1:9" ht="15" customHeight="1">
      <c r="A5" s="34"/>
      <c r="B5" s="78" t="s">
        <v>192</v>
      </c>
      <c r="C5" s="78"/>
      <c r="D5" s="78"/>
      <c r="E5" s="78"/>
      <c r="F5" s="37" t="s">
        <v>193</v>
      </c>
      <c r="G5" s="37" t="s">
        <v>194</v>
      </c>
      <c r="H5" s="35"/>
      <c r="I5" s="36"/>
    </row>
    <row r="6" spans="1:9" ht="15" customHeight="1">
      <c r="A6" s="34"/>
      <c r="B6" s="79" t="s">
        <v>195</v>
      </c>
      <c r="C6" s="79"/>
      <c r="D6" s="79"/>
      <c r="E6" s="79"/>
      <c r="F6" s="38" t="s">
        <v>196</v>
      </c>
      <c r="G6" s="39">
        <v>0.0467</v>
      </c>
      <c r="H6" s="35"/>
      <c r="I6" s="36"/>
    </row>
    <row r="7" spans="1:9" ht="25.5" customHeight="1">
      <c r="A7" s="34"/>
      <c r="B7" s="72" t="s">
        <v>197</v>
      </c>
      <c r="C7" s="72"/>
      <c r="D7" s="72"/>
      <c r="E7" s="72"/>
      <c r="F7" s="40" t="s">
        <v>198</v>
      </c>
      <c r="G7" s="41">
        <v>0.0074</v>
      </c>
      <c r="H7" s="35"/>
      <c r="I7" s="36"/>
    </row>
    <row r="8" spans="1:9" ht="15" customHeight="1">
      <c r="A8" s="34"/>
      <c r="B8" s="72" t="s">
        <v>199</v>
      </c>
      <c r="C8" s="72"/>
      <c r="D8" s="72"/>
      <c r="E8" s="72"/>
      <c r="F8" s="40" t="s">
        <v>200</v>
      </c>
      <c r="G8" s="41">
        <v>0.0097</v>
      </c>
      <c r="H8" s="35"/>
      <c r="I8" s="36"/>
    </row>
    <row r="9" spans="1:9" ht="15" customHeight="1">
      <c r="A9" s="34"/>
      <c r="B9" s="72" t="s">
        <v>201</v>
      </c>
      <c r="C9" s="72"/>
      <c r="D9" s="72"/>
      <c r="E9" s="72"/>
      <c r="F9" s="40" t="s">
        <v>202</v>
      </c>
      <c r="G9" s="41">
        <v>0.012</v>
      </c>
      <c r="H9" s="35"/>
      <c r="I9" s="36"/>
    </row>
    <row r="10" spans="1:9" ht="15" customHeight="1">
      <c r="A10" s="34"/>
      <c r="B10" s="72" t="s">
        <v>203</v>
      </c>
      <c r="C10" s="72"/>
      <c r="D10" s="72"/>
      <c r="E10" s="72"/>
      <c r="F10" s="40" t="s">
        <v>204</v>
      </c>
      <c r="G10" s="42">
        <v>0.085</v>
      </c>
      <c r="H10" s="35"/>
      <c r="I10" s="36"/>
    </row>
    <row r="11" spans="1:9" ht="38.25" customHeight="1">
      <c r="A11" s="34"/>
      <c r="B11" s="73" t="s">
        <v>205</v>
      </c>
      <c r="C11" s="74" t="s">
        <v>206</v>
      </c>
      <c r="D11" s="74"/>
      <c r="E11" s="74"/>
      <c r="F11" s="75" t="s">
        <v>207</v>
      </c>
      <c r="G11" s="42">
        <v>0.0065</v>
      </c>
      <c r="H11" s="35"/>
      <c r="I11" s="36"/>
    </row>
    <row r="12" spans="1:9" ht="38.25" customHeight="1">
      <c r="A12" s="34"/>
      <c r="B12" s="73"/>
      <c r="C12" s="74" t="s">
        <v>208</v>
      </c>
      <c r="D12" s="74"/>
      <c r="E12" s="74"/>
      <c r="F12" s="75"/>
      <c r="G12" s="42">
        <v>0.03</v>
      </c>
      <c r="H12" s="35"/>
      <c r="I12" s="36"/>
    </row>
    <row r="13" spans="1:9" ht="63.75" customHeight="1">
      <c r="A13" s="34"/>
      <c r="B13" s="73"/>
      <c r="C13" s="74" t="s">
        <v>209</v>
      </c>
      <c r="D13" s="74"/>
      <c r="E13" s="74"/>
      <c r="F13" s="75"/>
      <c r="G13" s="43">
        <v>0.02</v>
      </c>
      <c r="H13" s="35"/>
      <c r="I13" s="36"/>
    </row>
    <row r="14" spans="1:9" ht="25.5" customHeight="1">
      <c r="A14" s="34"/>
      <c r="B14" s="73"/>
      <c r="C14" s="76" t="s">
        <v>210</v>
      </c>
      <c r="D14" s="76"/>
      <c r="E14" s="76"/>
      <c r="F14" s="75"/>
      <c r="G14" s="43">
        <f>IF('[1]Dados'!$G$23="desonerado",4.5%,IF('[1]Dados'!$G$23="não desonerado",0%,"Ver aba DADOS"))</f>
        <v>0.045</v>
      </c>
      <c r="H14" s="35"/>
      <c r="I14" s="36"/>
    </row>
    <row r="15" spans="1:9" ht="38.25" customHeight="1">
      <c r="A15" s="34"/>
      <c r="B15" s="71" t="s">
        <v>211</v>
      </c>
      <c r="C15" s="71"/>
      <c r="D15" s="71"/>
      <c r="E15" s="71"/>
      <c r="F15" s="71"/>
      <c r="G15" s="44">
        <v>0.3</v>
      </c>
      <c r="H15" s="35"/>
      <c r="I15" s="36"/>
    </row>
    <row r="16" spans="1:9" ht="15">
      <c r="A16" s="34"/>
      <c r="B16" s="45"/>
      <c r="C16" s="45"/>
      <c r="D16" s="45"/>
      <c r="E16" s="45"/>
      <c r="F16" s="45"/>
      <c r="G16" s="45"/>
      <c r="H16" s="35"/>
      <c r="I16" s="36"/>
    </row>
    <row r="17" spans="1:9" ht="15">
      <c r="A17" s="34"/>
      <c r="B17" s="45" t="s">
        <v>212</v>
      </c>
      <c r="C17" s="45"/>
      <c r="D17" s="45"/>
      <c r="E17" s="45"/>
      <c r="F17" s="45"/>
      <c r="G17" s="45"/>
      <c r="H17" s="35"/>
      <c r="I17" s="36"/>
    </row>
    <row r="18" spans="1:9" ht="15">
      <c r="A18" s="34"/>
      <c r="B18" s="45"/>
      <c r="C18" s="45"/>
      <c r="D18" s="45"/>
      <c r="E18" s="45"/>
      <c r="F18" s="45"/>
      <c r="G18" s="45"/>
      <c r="H18" s="35"/>
      <c r="I18" s="36"/>
    </row>
    <row r="19" spans="1:9" ht="15">
      <c r="A19" s="34"/>
      <c r="B19" s="35"/>
      <c r="C19" s="35"/>
      <c r="D19" s="35"/>
      <c r="E19" s="35"/>
      <c r="F19" s="35"/>
      <c r="G19" s="35"/>
      <c r="H19" s="35"/>
      <c r="I19" s="36"/>
    </row>
    <row r="20" spans="1:9" ht="15">
      <c r="A20" s="34"/>
      <c r="B20" s="35"/>
      <c r="C20" s="35"/>
      <c r="D20" s="35"/>
      <c r="E20" s="35"/>
      <c r="F20" s="35"/>
      <c r="G20" s="35"/>
      <c r="H20" s="35"/>
      <c r="I20" s="36"/>
    </row>
  </sheetData>
  <sheetProtection/>
  <mergeCells count="14">
    <mergeCell ref="B2:G2"/>
    <mergeCell ref="B5:E5"/>
    <mergeCell ref="B6:E6"/>
    <mergeCell ref="B7:E7"/>
    <mergeCell ref="B8:E8"/>
    <mergeCell ref="B15:F15"/>
    <mergeCell ref="B9:E9"/>
    <mergeCell ref="B10:E10"/>
    <mergeCell ref="B11:B14"/>
    <mergeCell ref="C11:E11"/>
    <mergeCell ref="F11:F14"/>
    <mergeCell ref="C12:E12"/>
    <mergeCell ref="C13:E13"/>
    <mergeCell ref="C14:E14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view="pageBreakPreview" zoomScaleSheetLayoutView="100" zoomScalePageLayoutView="0" workbookViewId="0" topLeftCell="A1">
      <selection activeCell="S11" sqref="S11"/>
    </sheetView>
  </sheetViews>
  <sheetFormatPr defaultColWidth="8.7109375" defaultRowHeight="15"/>
  <cols>
    <col min="1" max="1" width="8.7109375" style="0" customWidth="1"/>
    <col min="2" max="2" width="67.140625" style="0" customWidth="1"/>
    <col min="3" max="18" width="12.7109375" style="0" customWidth="1"/>
  </cols>
  <sheetData>
    <row r="1" spans="1:10" ht="24.75" customHeight="1">
      <c r="A1" s="82" t="s">
        <v>213</v>
      </c>
      <c r="B1" s="82"/>
      <c r="C1" s="82"/>
      <c r="D1" s="82"/>
      <c r="E1" s="82"/>
      <c r="F1" s="82"/>
      <c r="G1" s="82"/>
      <c r="H1" s="82"/>
      <c r="I1" s="82"/>
      <c r="J1" s="82"/>
    </row>
    <row r="2" spans="1:2" ht="24.75" customHeight="1">
      <c r="A2" s="83" t="s">
        <v>1</v>
      </c>
      <c r="B2" s="83"/>
    </row>
    <row r="3" spans="1:18" ht="47.25" customHeight="1">
      <c r="A3" s="46" t="s">
        <v>5</v>
      </c>
      <c r="B3" s="47" t="s">
        <v>6</v>
      </c>
      <c r="C3" s="80" t="s">
        <v>214</v>
      </c>
      <c r="D3" s="80"/>
      <c r="E3" s="80"/>
      <c r="F3" s="80"/>
      <c r="G3" s="80" t="s">
        <v>215</v>
      </c>
      <c r="H3" s="80"/>
      <c r="I3" s="80"/>
      <c r="J3" s="80"/>
      <c r="K3" s="80" t="s">
        <v>216</v>
      </c>
      <c r="L3" s="80"/>
      <c r="M3" s="80"/>
      <c r="N3" s="80"/>
      <c r="O3" s="80" t="s">
        <v>217</v>
      </c>
      <c r="P3" s="80"/>
      <c r="Q3" s="80"/>
      <c r="R3" s="80"/>
    </row>
    <row r="4" spans="1:18" ht="30">
      <c r="A4" s="81"/>
      <c r="B4" s="81"/>
      <c r="C4" s="48" t="s">
        <v>218</v>
      </c>
      <c r="D4" s="49" t="s">
        <v>219</v>
      </c>
      <c r="E4" s="49" t="s">
        <v>220</v>
      </c>
      <c r="F4" s="50" t="s">
        <v>221</v>
      </c>
      <c r="G4" s="48" t="s">
        <v>222</v>
      </c>
      <c r="H4" s="49" t="s">
        <v>223</v>
      </c>
      <c r="I4" s="49" t="s">
        <v>224</v>
      </c>
      <c r="J4" s="50" t="s">
        <v>225</v>
      </c>
      <c r="K4" s="48" t="s">
        <v>226</v>
      </c>
      <c r="L4" s="49" t="s">
        <v>227</v>
      </c>
      <c r="M4" s="49" t="s">
        <v>228</v>
      </c>
      <c r="N4" s="50" t="s">
        <v>229</v>
      </c>
      <c r="O4" s="48" t="s">
        <v>226</v>
      </c>
      <c r="P4" s="49" t="s">
        <v>227</v>
      </c>
      <c r="Q4" s="49" t="s">
        <v>228</v>
      </c>
      <c r="R4" s="50" t="s">
        <v>229</v>
      </c>
    </row>
    <row r="5" spans="1:18" ht="24.75" customHeight="1">
      <c r="A5" s="51" t="s">
        <v>13</v>
      </c>
      <c r="B5" s="9" t="s">
        <v>14</v>
      </c>
      <c r="C5" s="52"/>
      <c r="D5" s="53"/>
      <c r="E5" s="53"/>
      <c r="F5" s="54"/>
      <c r="G5" s="52"/>
      <c r="H5" s="53"/>
      <c r="I5" s="55"/>
      <c r="J5" s="56"/>
      <c r="K5" s="52"/>
      <c r="L5" s="53"/>
      <c r="M5" s="53"/>
      <c r="N5" s="54"/>
      <c r="O5" s="52"/>
      <c r="P5" s="53"/>
      <c r="Q5" s="53"/>
      <c r="R5" s="56"/>
    </row>
    <row r="6" spans="1:18" ht="24.75" customHeight="1">
      <c r="A6" s="51" t="s">
        <v>27</v>
      </c>
      <c r="B6" s="9" t="s">
        <v>28</v>
      </c>
      <c r="C6" s="52"/>
      <c r="D6" s="53"/>
      <c r="E6" s="53"/>
      <c r="F6" s="56"/>
      <c r="G6" s="57"/>
      <c r="H6" s="55"/>
      <c r="I6" s="53"/>
      <c r="J6" s="54"/>
      <c r="K6" s="52"/>
      <c r="L6" s="53"/>
      <c r="M6" s="53"/>
      <c r="N6" s="56"/>
      <c r="O6" s="57"/>
      <c r="P6" s="53"/>
      <c r="Q6" s="53"/>
      <c r="R6" s="54"/>
    </row>
    <row r="7" spans="1:18" ht="24.75" customHeight="1">
      <c r="A7" s="51" t="s">
        <v>32</v>
      </c>
      <c r="B7" s="9" t="s">
        <v>33</v>
      </c>
      <c r="C7" s="52"/>
      <c r="D7" s="53"/>
      <c r="E7" s="53"/>
      <c r="F7" s="54"/>
      <c r="G7" s="57"/>
      <c r="H7" s="58"/>
      <c r="I7" s="53"/>
      <c r="J7" s="54"/>
      <c r="K7" s="52"/>
      <c r="L7" s="55"/>
      <c r="M7" s="55"/>
      <c r="N7" s="54"/>
      <c r="O7" s="57"/>
      <c r="P7" s="58"/>
      <c r="Q7" s="53"/>
      <c r="R7" s="54"/>
    </row>
    <row r="8" spans="1:18" ht="24.75" customHeight="1">
      <c r="A8" s="51" t="s">
        <v>37</v>
      </c>
      <c r="B8" s="9" t="s">
        <v>38</v>
      </c>
      <c r="C8" s="52"/>
      <c r="D8" s="58"/>
      <c r="E8" s="58"/>
      <c r="F8" s="54"/>
      <c r="G8" s="52"/>
      <c r="H8" s="53"/>
      <c r="I8" s="53"/>
      <c r="J8" s="54"/>
      <c r="K8" s="52"/>
      <c r="L8" s="58"/>
      <c r="M8" s="58"/>
      <c r="N8" s="54"/>
      <c r="O8" s="52"/>
      <c r="P8" s="53"/>
      <c r="Q8" s="53"/>
      <c r="R8" s="54"/>
    </row>
    <row r="9" spans="1:18" ht="24.75" customHeight="1">
      <c r="A9" s="51" t="s">
        <v>107</v>
      </c>
      <c r="B9" s="20" t="s">
        <v>108</v>
      </c>
      <c r="C9" s="52"/>
      <c r="D9" s="58"/>
      <c r="E9" s="58"/>
      <c r="F9" s="54"/>
      <c r="G9" s="52"/>
      <c r="H9" s="53"/>
      <c r="I9" s="53"/>
      <c r="J9" s="54"/>
      <c r="K9" s="52"/>
      <c r="L9" s="58"/>
      <c r="M9" s="58"/>
      <c r="N9" s="54"/>
      <c r="O9" s="52"/>
      <c r="P9" s="53"/>
      <c r="Q9" s="53"/>
      <c r="R9" s="54"/>
    </row>
    <row r="10" spans="1:18" ht="24.75" customHeight="1">
      <c r="A10" s="51" t="s">
        <v>131</v>
      </c>
      <c r="B10" s="9" t="s">
        <v>132</v>
      </c>
      <c r="C10" s="52"/>
      <c r="D10" s="53"/>
      <c r="E10" s="53"/>
      <c r="F10" s="54"/>
      <c r="G10" s="52"/>
      <c r="H10" s="53"/>
      <c r="I10" s="53"/>
      <c r="J10" s="56"/>
      <c r="K10" s="52"/>
      <c r="L10" s="53"/>
      <c r="M10" s="53"/>
      <c r="N10" s="54"/>
      <c r="O10" s="52"/>
      <c r="P10" s="53"/>
      <c r="Q10" s="53"/>
      <c r="R10" s="56"/>
    </row>
    <row r="11" spans="1:18" ht="24.75" customHeight="1">
      <c r="A11" s="51" t="s">
        <v>142</v>
      </c>
      <c r="B11" s="20" t="s">
        <v>143</v>
      </c>
      <c r="C11" s="52"/>
      <c r="D11" s="53"/>
      <c r="E11" s="53"/>
      <c r="F11" s="54"/>
      <c r="G11" s="52"/>
      <c r="H11" s="58"/>
      <c r="I11" s="58"/>
      <c r="J11" s="54"/>
      <c r="K11" s="52"/>
      <c r="L11" s="53"/>
      <c r="M11" s="53"/>
      <c r="N11" s="54"/>
      <c r="O11" s="52"/>
      <c r="P11" s="58"/>
      <c r="Q11" s="58"/>
      <c r="R11" s="54"/>
    </row>
    <row r="12" spans="1:18" ht="24.75" customHeight="1">
      <c r="A12" s="51" t="s">
        <v>147</v>
      </c>
      <c r="B12" s="20" t="s">
        <v>148</v>
      </c>
      <c r="C12" s="57"/>
      <c r="D12" s="53"/>
      <c r="E12" s="53"/>
      <c r="F12" s="54"/>
      <c r="G12" s="52"/>
      <c r="H12" s="53"/>
      <c r="I12" s="53"/>
      <c r="J12" s="54"/>
      <c r="K12" s="57"/>
      <c r="L12" s="53"/>
      <c r="M12" s="53"/>
      <c r="N12" s="54"/>
      <c r="O12" s="52"/>
      <c r="P12" s="53"/>
      <c r="Q12" s="53"/>
      <c r="R12" s="54"/>
    </row>
    <row r="13" spans="1:18" ht="24.75" customHeight="1">
      <c r="A13" s="51" t="s">
        <v>152</v>
      </c>
      <c r="B13" s="20" t="s">
        <v>153</v>
      </c>
      <c r="C13" s="57"/>
      <c r="D13" s="53"/>
      <c r="E13" s="53"/>
      <c r="F13" s="54"/>
      <c r="G13" s="52"/>
      <c r="H13" s="53"/>
      <c r="I13" s="53"/>
      <c r="J13" s="54"/>
      <c r="K13" s="57"/>
      <c r="L13" s="53"/>
      <c r="M13" s="53"/>
      <c r="N13" s="54"/>
      <c r="O13" s="52"/>
      <c r="P13" s="53"/>
      <c r="Q13" s="53"/>
      <c r="R13" s="54"/>
    </row>
    <row r="14" spans="1:18" ht="24.75" customHeight="1">
      <c r="A14" s="51" t="s">
        <v>164</v>
      </c>
      <c r="B14" s="20" t="s">
        <v>165</v>
      </c>
      <c r="C14" s="57"/>
      <c r="D14" s="53"/>
      <c r="E14" s="53"/>
      <c r="F14" s="54"/>
      <c r="G14" s="52"/>
      <c r="H14" s="53"/>
      <c r="I14" s="53"/>
      <c r="J14" s="54"/>
      <c r="K14" s="57"/>
      <c r="L14" s="53"/>
      <c r="M14" s="53"/>
      <c r="N14" s="54"/>
      <c r="O14" s="52"/>
      <c r="P14" s="53"/>
      <c r="Q14" s="53"/>
      <c r="R14" s="54"/>
    </row>
    <row r="15" spans="1:18" ht="24.75" customHeight="1">
      <c r="A15" s="51" t="s">
        <v>170</v>
      </c>
      <c r="B15" s="20" t="s">
        <v>171</v>
      </c>
      <c r="C15" s="52"/>
      <c r="D15" s="53"/>
      <c r="E15" s="53"/>
      <c r="F15" s="54"/>
      <c r="G15" s="52"/>
      <c r="H15" s="53"/>
      <c r="I15" s="53"/>
      <c r="J15" s="54"/>
      <c r="K15" s="52"/>
      <c r="L15" s="53"/>
      <c r="M15" s="53"/>
      <c r="N15" s="54"/>
      <c r="O15" s="52"/>
      <c r="P15" s="53"/>
      <c r="Q15" s="53"/>
      <c r="R15" s="56"/>
    </row>
    <row r="16" spans="1:18" ht="24.75" customHeight="1">
      <c r="A16" s="51" t="s">
        <v>176</v>
      </c>
      <c r="B16" s="20" t="s">
        <v>177</v>
      </c>
      <c r="C16" s="52"/>
      <c r="D16" s="53"/>
      <c r="E16" s="53"/>
      <c r="F16" s="54"/>
      <c r="G16" s="52"/>
      <c r="H16" s="53"/>
      <c r="I16" s="53"/>
      <c r="J16" s="54"/>
      <c r="K16" s="57"/>
      <c r="L16" s="58"/>
      <c r="M16" s="53"/>
      <c r="N16" s="54"/>
      <c r="O16" s="52"/>
      <c r="P16" s="53"/>
      <c r="Q16" s="53"/>
      <c r="R16" s="54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7">
    <mergeCell ref="O3:R3"/>
    <mergeCell ref="A4:B4"/>
    <mergeCell ref="A1:J1"/>
    <mergeCell ref="A2:B2"/>
    <mergeCell ref="C3:F3"/>
    <mergeCell ref="G3:J3"/>
    <mergeCell ref="K3:N3"/>
  </mergeCells>
  <printOptions/>
  <pageMargins left="0.511805555555555" right="0.511805555555555" top="0.7875" bottom="0.7875" header="0.511805555555555" footer="0.511805555555555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Reis</dc:creator>
  <cp:keywords/>
  <dc:description/>
  <cp:lastModifiedBy>Adriana Stocco</cp:lastModifiedBy>
  <cp:lastPrinted>2021-05-05T10:12:54Z</cp:lastPrinted>
  <dcterms:created xsi:type="dcterms:W3CDTF">2020-08-04T14:11:47Z</dcterms:created>
  <dcterms:modified xsi:type="dcterms:W3CDTF">2021-07-26T11:40:56Z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