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bookViews>
    <workbookView xWindow="0" yWindow="0" windowWidth="19200" windowHeight="11370" activeTab="0"/>
  </bookViews>
  <sheets>
    <sheet name="Orçamento" sheetId="1" r:id="rId1"/>
    <sheet name="Cronograma" sheetId="7" r:id="rId2"/>
    <sheet name="BDI" sheetId="3" r:id="rId3"/>
  </sheets>
  <externalReferences>
    <externalReference r:id="rId6"/>
  </externalReferences>
  <definedNames>
    <definedName name="_xlnm.Print_Area" localSheetId="1">'Cronograma'!$A$1:$J$18</definedName>
    <definedName name="_xlnm.Print_Area" localSheetId="0">'Orçamento'!$A$1:$M$55</definedName>
    <definedName name="_xlnm.Print_Titles" localSheetId="0">'Orçamento'!$4:$4</definedName>
  </definedNames>
  <calcPr calcId="181029"/>
</workbook>
</file>

<file path=xl/sharedStrings.xml><?xml version="1.0" encoding="utf-8"?>
<sst xmlns="http://schemas.openxmlformats.org/spreadsheetml/2006/main" count="289" uniqueCount="197">
  <si>
    <t>Especificação - descrição das caracteristicas de materiais e serviços.</t>
  </si>
  <si>
    <t>PAREDES E PAINEIS</t>
  </si>
  <si>
    <t>GESSO</t>
  </si>
  <si>
    <t>M²</t>
  </si>
  <si>
    <t>ESQUADRIAS</t>
  </si>
  <si>
    <t>PORTAS</t>
  </si>
  <si>
    <t>CONJ.</t>
  </si>
  <si>
    <t>PINTURA</t>
  </si>
  <si>
    <t>PINTURA SOBRE  MADEIRA</t>
  </si>
  <si>
    <t>UN.</t>
  </si>
  <si>
    <t>1.0</t>
  </si>
  <si>
    <t>2.1</t>
  </si>
  <si>
    <t>2.2</t>
  </si>
  <si>
    <t>3.1</t>
  </si>
  <si>
    <t>4.1</t>
  </si>
  <si>
    <t>5.1</t>
  </si>
  <si>
    <t>5.2</t>
  </si>
  <si>
    <t>5.3</t>
  </si>
  <si>
    <t>5.4</t>
  </si>
  <si>
    <t>6.1</t>
  </si>
  <si>
    <t>6.2</t>
  </si>
  <si>
    <t>6.3</t>
  </si>
  <si>
    <t>6.4</t>
  </si>
  <si>
    <t>6.0</t>
  </si>
  <si>
    <t>5.0</t>
  </si>
  <si>
    <t>4.0</t>
  </si>
  <si>
    <t>3.0</t>
  </si>
  <si>
    <t>2.0</t>
  </si>
  <si>
    <t>1.1</t>
  </si>
  <si>
    <t>7.0</t>
  </si>
  <si>
    <t>TOTAL</t>
  </si>
  <si>
    <t>ITEM</t>
  </si>
  <si>
    <t>SERVIÇO</t>
  </si>
  <si>
    <t>QTD.</t>
  </si>
  <si>
    <t>CUSTO UNITÁRIO          R$</t>
  </si>
  <si>
    <t>CUSTO TOTAL       R$</t>
  </si>
  <si>
    <t>PESO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</si>
  <si>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</si>
  <si>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COMPOSIÇÃO DE B.D.I.</t>
  </si>
  <si>
    <t>ITENS</t>
  </si>
  <si>
    <t>SIGLAS</t>
  </si>
  <si>
    <t>VALORES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</si>
  <si>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</si>
  <si>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</si>
  <si>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</si>
  <si>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</si>
  <si>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</si>
  <si>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</si>
  <si>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</si>
  <si>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</si>
  <si>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</si>
  <si>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</si>
  <si>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</si>
  <si>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</si>
  <si>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</si>
  <si>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</si>
  <si>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</si>
  <si>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</si>
  <si>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RESULTANTE</t>
  </si>
  <si>
    <t>FÓRMULA UTILIZADA:</t>
  </si>
  <si>
    <t>_________________________________________________________</t>
  </si>
  <si>
    <t>Secretaria de Ação Social, Trabalho e Renda, 10 de agosto de 2020.</t>
  </si>
  <si>
    <t>SECRETÁRIA DE AÇÃO SOCIAL, TRABALHO E RENDA</t>
  </si>
  <si>
    <t>Natalina Aparecida Delforno dos Santos Alves</t>
  </si>
  <si>
    <t>FONTE</t>
  </si>
  <si>
    <t>CÓDIGO</t>
  </si>
  <si>
    <t>SINAPI</t>
  </si>
  <si>
    <t>CPOS</t>
  </si>
  <si>
    <t>M</t>
  </si>
  <si>
    <t>RETIRADA DE ESQUADRIA E ELEMENTOS DE MADEIRA</t>
  </si>
  <si>
    <t>PINTURA INTERNA PAREDE</t>
  </si>
  <si>
    <t>PINTURA INTERNA TETO</t>
  </si>
  <si>
    <t>PINTURA EXTERNA</t>
  </si>
  <si>
    <t>Remoção de pintura em superfícies de madeira e/ou metálicas com lixamento</t>
  </si>
  <si>
    <t>5.5</t>
  </si>
  <si>
    <t>5.6</t>
  </si>
  <si>
    <t>5.7</t>
  </si>
  <si>
    <t>8.1</t>
  </si>
  <si>
    <t>7.1</t>
  </si>
  <si>
    <t>9.0</t>
  </si>
  <si>
    <t>Tabela de custo SINAPI data base: 15/07/2020   Leis Sociais: 85,06% BDI:30% - Tabela de custo CPOS nº 179 data base 01/07/2020 Leis Sociais: 98,38% BDI:30%</t>
  </si>
  <si>
    <t>MÊS 01</t>
  </si>
  <si>
    <t>MÊS 02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</si>
  <si>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</si>
  <si>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</si>
  <si>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</si>
  <si>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</si>
  <si>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</si>
  <si>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</si>
  <si>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</si>
  <si>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</si>
  <si>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M³</t>
  </si>
  <si>
    <t>DEMOLIÇÃO DE ALVENARIA</t>
  </si>
  <si>
    <t>RETIRADA DE ESQUADRIAS E ELEMENTOS METÁLICOS</t>
  </si>
  <si>
    <t>Retirada de esquadria metálica em geral</t>
  </si>
  <si>
    <t>04.09.020</t>
  </si>
  <si>
    <t>RETIRADA DE APARELHOS, METAIS SANITARIOS E REGISTRO</t>
  </si>
  <si>
    <t>04.11.030</t>
  </si>
  <si>
    <t>Demolição manual de alvenaria de elevação ou elemento vazado, incluindo revestimento</t>
  </si>
  <si>
    <t>03.02.040</t>
  </si>
  <si>
    <t>ALVENARIA DE VEDAÇÃO DE BLOCOS VAZADOS DE CONCRETO DE 14X19X39CM (ESPESSURA 14CM) DE PAREDES COM ÁREA LÍQUIDA MENOR QUE 6M² SEM VÃOS E ARGAMASSA DE ASSENTAMENTO COM PREPARO MANUAL.</t>
  </si>
  <si>
    <t>ALVENARIA DE BLOCO DE CONCRETO</t>
  </si>
  <si>
    <t>CHAPISCO</t>
  </si>
  <si>
    <t>REBOCO MASSA ÚNICA</t>
  </si>
  <si>
    <t>REVESTIMENTO DE PAREDE</t>
  </si>
  <si>
    <t>JANELAS</t>
  </si>
  <si>
    <t>JANELA DE ALUMÍNIO COM VIDROS, BATENTE E FERRAGENS. EXCLUSIVE ALIZAR, ACABAMENTO E CONTRAMARCO. FORNECIMENTO E INSTALAÇÃO.</t>
  </si>
  <si>
    <t>INSTALAÇÃO HIDRAULICA</t>
  </si>
  <si>
    <t>ENGATE FLEXÍVEL EM PLÁSTICO BRANCO, 1/2 X 40CM - FORNECIMENTO E INSTALAÇÃO.</t>
  </si>
  <si>
    <t>SIFÃO DO TIPO FLEXÍVEL EM PVC 1 X 1.1/2 - FORNECIMENTO E INSTALAÇÃO.</t>
  </si>
  <si>
    <t>TORNEIRA CROMADA DE MESA, 1/2 OU 3/4, PARA LAVATÓRIO, PADRÃO POPULAR- FORNECIMENTO E INSTALAÇÃO.</t>
  </si>
  <si>
    <t>1.2</t>
  </si>
  <si>
    <t>10.0</t>
  </si>
  <si>
    <t>12.0</t>
  </si>
  <si>
    <t>PAREDE 95 mm ACABADO (1st/70/1st) COM PLACAS DE GESSO ACARTONADO (DRYWALL), PARA USO INTERNO, COM DUAS FACES SIMPLES E ESTRUTURA METÁLICA COM GUIAS SIMPLES, COM VÃOS. BANHEIRO COM PAREDE DE GESSO "VERDE" PARA AREAS UMIDAS.</t>
  </si>
  <si>
    <t>Avenida Prefeito Erasmo Chrispim, s/nº 21 , ‘Jardim de Lucca'</t>
  </si>
  <si>
    <t>04.01.060</t>
  </si>
  <si>
    <t>Retirada de divisória em placa de concreto, granito, granilite ou mármore</t>
  </si>
  <si>
    <t>m²</t>
  </si>
  <si>
    <t>RETIRADA DE FECHAMENTO E ELEMENTO DIVISOR</t>
  </si>
  <si>
    <t>DIVISÓRIA DE BANHEIRO</t>
  </si>
  <si>
    <t>PORTA DE CORRER DE ALUMÍNIO, COM DUAS FOLHAS PARA VIDRO, INCLUSO VIDRO LISO INCOLOR, FECHADURA E PUXADOR, SEM ALIZAR.</t>
  </si>
  <si>
    <t>REMOÇÃO DE PORTAS, DE FORMA MANUAL, SEM REAPROVEITAMENTO.</t>
  </si>
  <si>
    <t>04.11.020</t>
  </si>
  <si>
    <t>MARCENARIA EM GERAL</t>
  </si>
  <si>
    <t>23.08.040</t>
  </si>
  <si>
    <t>Armário/gabinete embutido em MDF sob medida, revestido em laminado melamínico, com portas e prateleiras</t>
  </si>
  <si>
    <t>ARMARIO PARA COZINHA</t>
  </si>
  <si>
    <t>DIVISORIA E FECHAMENTO</t>
  </si>
  <si>
    <t>Divisória em placas de granito com espessura de 3 cm</t>
  </si>
  <si>
    <t>DIVISORIA PARA BANHEIRO</t>
  </si>
  <si>
    <t>44.04.050</t>
  </si>
  <si>
    <t>PRATELEIRAS</t>
  </si>
  <si>
    <t>PRATELEIRAS PARA DEPOSITO</t>
  </si>
  <si>
    <t>14.30.010</t>
  </si>
  <si>
    <t>REVESTIMENTO CERAMICO</t>
  </si>
  <si>
    <t>REVESTIMENTO CERÂMICO PARA PAREDES INTERNAS COM PLACAS TIPO ESMALTADA EXTRA DE DIMENSÕES 20X20 CM APLICADAS EM AMBIENTES DE ÁREA MAIOR QUE 5M² NA ALTURA INTEIRA DAS PAREDES.</t>
  </si>
  <si>
    <t>EMBOÇO</t>
  </si>
  <si>
    <t>EMBOÇO, PARA RECEBIMENTO DE CERÂMICA, EM ARGAMASSA TRAÇO 1:2:8, PREPARO MANUAL, APLICADO MANUALMENTE EM FACES INTERNAS DE PAREDES, PARA AMBIENTE COM ÁREA MENOR QUE 5M2, ESPESSURA DE 20MM, COM EXECUÇÃO DE TALISCAS.</t>
  </si>
  <si>
    <t xml:space="preserve">CHAPISCO APLICADO EM ALVENARIAS E ESTRUTURAS DE CONCRETO COM COLHER DE PEDREIRO. ARGAMASSA TRAÇO 1:3 COM PREPARO MANUAL. </t>
  </si>
  <si>
    <t>BANCADA DE GRANITO CINZA POLIDO, DE 0,50 X 0,60 M, PARA LAVATÓRIO - FORNECIMENTO E INSTALAÇÃO.</t>
  </si>
  <si>
    <t>BANCADA PARA BANHEIRO FEMININO</t>
  </si>
  <si>
    <t>CUBA DE EMBUTIR OVAL EM LOUÇA BRANCA, 35 X 50CM OU EQUIVALENTE - FORNECIMENTO E INSTALAÇÃO.</t>
  </si>
  <si>
    <t>CUBA DE LOUÇA</t>
  </si>
  <si>
    <t>Retirada de bancada incluindo pertences com reaproveitamento.</t>
  </si>
  <si>
    <t>Retirada de aparelho sanitário incluindo acessórios com reaproveitamento</t>
  </si>
  <si>
    <t>CHUVEIRO</t>
  </si>
  <si>
    <t>CHUVEIRO ELÉTRICO COMUM CORPO PLÁSTICO, TIPO DUCHA FORNECIMENTO E INSTALAÇÃO.</t>
  </si>
  <si>
    <t>BARRA DE APOIO RETA, EM ALUMINIO, COMPRIMENTO 80 CM, FIXADA NA PAREDE- FORNECIMENTO E INSTALAÇÃO.</t>
  </si>
  <si>
    <t>BARRA DE APOIO PARA BANHERO ACESSIVEL</t>
  </si>
  <si>
    <t>PUXADOR PARA PCD, FIXADO NA PORTA - FORNECIMENTO E INSTALAÇÃO.</t>
  </si>
  <si>
    <t>PUXADOR PARA PORTA</t>
  </si>
  <si>
    <t>TORNEIRA PARA LAVATÓRIO</t>
  </si>
  <si>
    <t xml:space="preserve">ENGATE FLEXÍVEL </t>
  </si>
  <si>
    <t>SIFÃO</t>
  </si>
  <si>
    <t>ESTRUTURA</t>
  </si>
  <si>
    <t>CONTRAVERGA MOLDADA IN LOCO COM UTILIZAÇÃO DE BLOCOS CANALETA PARA VÃO S DE MAIS DE 1,5 M DE COMPRIMENTO.</t>
  </si>
  <si>
    <t xml:space="preserve">VERGA E CONTRAVERGA DE PAREDE </t>
  </si>
  <si>
    <t>GRAUTEAMENTO DE CINTA SUPERIOR OU DE VERGA EM ALVENARIA</t>
  </si>
  <si>
    <t>GRAUTE</t>
  </si>
  <si>
    <t>ARMAÇÃO DE ESTRUTURAS DE CONCRETO ARMADO, EXCETO VIGAS, PILARES, LAJES E FUNDAÇÕES, UTILIZANDO AÇO CA-50 DE 10,0 MM - MONTAGEM.</t>
  </si>
  <si>
    <t>KG</t>
  </si>
  <si>
    <t>ANCORAGEM EM PAREDES EXISTENTES</t>
  </si>
  <si>
    <t>1.3</t>
  </si>
  <si>
    <t>APLICAÇÃO MANUAL DE PINTURA COM TINTA LÁTEX ACRÍLICA EM PAREDES DE ALVENARIA EXISTENTES E PAREDES NOVAS DE GESSO, DUAS DEMÃOS;</t>
  </si>
  <si>
    <t>APLICAÇÃO MANUAL DE PINTURA COM TINTA LÁTEX PVA EM TETO, DUAS DEMÃOS.</t>
  </si>
  <si>
    <t>APLICAÇÃO MANUAL DE PINTURA COM TINTA LÁTEX PVA EM PAREDES, DUAS DEMÃOS.</t>
  </si>
  <si>
    <t>REMOÇÃO NAS ESQUADRIAS METÁLICAS EXISTENTES</t>
  </si>
  <si>
    <t>6.5</t>
  </si>
  <si>
    <t>PINTURA EM VERNIZ SINTETICO BRILHANTE EM MADEIRA, TRES DEMAOS. TODAS AS PORTAS DE MADEIRA.</t>
  </si>
  <si>
    <t>03.10.100</t>
  </si>
  <si>
    <t>3.2</t>
  </si>
  <si>
    <t>3.3</t>
  </si>
  <si>
    <t>4.2</t>
  </si>
  <si>
    <t>4.3</t>
  </si>
  <si>
    <t>4.4</t>
  </si>
  <si>
    <t>5.8</t>
  </si>
  <si>
    <t>8.0</t>
  </si>
  <si>
    <t>9.1</t>
  </si>
  <si>
    <t>9.2</t>
  </si>
  <si>
    <t>10.1</t>
  </si>
  <si>
    <t>11.0</t>
  </si>
  <si>
    <t>11.1</t>
  </si>
  <si>
    <t>12.1</t>
  </si>
  <si>
    <t>13.0</t>
  </si>
  <si>
    <t>13.1</t>
  </si>
  <si>
    <t>14.0</t>
  </si>
  <si>
    <t>14.1</t>
  </si>
  <si>
    <t>15.0</t>
  </si>
  <si>
    <t>BANHEIRO FEMININO E SALA DE REUNIÃO</t>
  </si>
  <si>
    <t>03 PORTAS DAS DIVISORIAS DO BANHEIRO FEMININO</t>
  </si>
  <si>
    <t>BANCADA COM LAVATORIO NO BANHEIRO FEMININO</t>
  </si>
  <si>
    <t>BANHEIRO FEMININO E DML</t>
  </si>
  <si>
    <t xml:space="preserve">MASSA ÚNICA, PARA RECEBIMENTO DE PINTURA, EM ARGAMASSA TRAÇO 1:2:8,PREPARO MANUAL, APLICADA MANUALMENTE EM FACES INTERNAS DE PAREDES, ESPESSURA DE 10MM, COM EXECUÇÃO DE TALISCAS. </t>
  </si>
  <si>
    <t>Prateleira em granito com espessura de 3 cm; DML E DEPOSITO</t>
  </si>
  <si>
    <t>CRONOGRAMA - REFORMA CASA ABRIGO MUNICIPAL</t>
  </si>
  <si>
    <t>ORÇAMENTO - REFORMA CASA ABRIGO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</si>
</sst>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165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0" fontId="10" fillId="2" borderId="1" xfId="2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0" fontId="10" fillId="0" borderId="1" xfId="2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10" fontId="10" fillId="0" borderId="1" xfId="2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/>
    <xf numFmtId="0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0" fontId="10" fillId="2" borderId="1" xfId="20" applyNumberFormat="1" applyFont="1" applyFill="1" applyBorder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9" fillId="2" borderId="1" xfId="0" applyFont="1" applyFill="1" applyBorder="1"/>
    <xf numFmtId="0" fontId="9" fillId="0" borderId="12" xfId="0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2" borderId="12" xfId="0" applyFont="1" applyFill="1" applyBorder="1"/>
    <xf numFmtId="0" fontId="9" fillId="2" borderId="11" xfId="0" applyFont="1" applyFill="1" applyBorder="1"/>
    <xf numFmtId="0" fontId="8" fillId="0" borderId="10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4" fillId="4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0" fontId="3" fillId="5" borderId="19" xfId="20" applyNumberFormat="1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10" fontId="3" fillId="5" borderId="20" xfId="20" applyNumberFormat="1" applyFont="1" applyFill="1" applyBorder="1" applyAlignment="1" applyProtection="1">
      <alignment horizontal="center" vertical="center" wrapText="1"/>
      <protection locked="0"/>
    </xf>
    <xf numFmtId="10" fontId="3" fillId="5" borderId="21" xfId="20" applyNumberFormat="1" applyFont="1" applyFill="1" applyBorder="1" applyAlignment="1" applyProtection="1">
      <alignment horizontal="center" vertical="center" wrapText="1"/>
      <protection locked="0"/>
    </xf>
    <xf numFmtId="10" fontId="3" fillId="5" borderId="20" xfId="20" applyNumberFormat="1" applyFont="1" applyFill="1" applyBorder="1" applyAlignment="1" applyProtection="1">
      <alignment horizontal="center" vertical="center" wrapText="1"/>
      <protection/>
    </xf>
    <xf numFmtId="10" fontId="4" fillId="4" borderId="18" xfId="20" applyNumberFormat="1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/>
    <xf numFmtId="0" fontId="7" fillId="3" borderId="0" xfId="21" applyFont="1" applyFill="1" applyBorder="1" applyAlignment="1">
      <alignment horizontal="left" vertical="center" wrapText="1"/>
      <protection/>
    </xf>
    <xf numFmtId="0" fontId="7" fillId="3" borderId="0" xfId="21" applyFont="1" applyFill="1" applyBorder="1" applyAlignment="1">
      <alignment vertical="center"/>
      <protection/>
    </xf>
    <xf numFmtId="4" fontId="7" fillId="3" borderId="0" xfId="21" applyNumberFormat="1" applyFont="1" applyFill="1" applyBorder="1" applyAlignment="1">
      <alignment horizontal="center" vertical="center"/>
      <protection/>
    </xf>
    <xf numFmtId="4" fontId="7" fillId="3" borderId="0" xfId="21" applyNumberFormat="1" applyFont="1" applyFill="1" applyBorder="1" applyAlignment="1">
      <alignment vertical="center"/>
      <protection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15</xdr:row>
      <xdr:rowOff>38100</xdr:rowOff>
    </xdr:from>
    <xdr:to>
      <xdr:col>8</xdr:col>
      <xdr:colOff>104775</xdr:colOff>
      <xdr:row>18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1225" y="4686300"/>
          <a:ext cx="2800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ojetos\B%20D%20I\BDI%20SINAPI%20CAI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>
        <row r="23">
          <cell r="G23" t="str">
            <v>DESONERADO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SheetLayoutView="70" workbookViewId="0" topLeftCell="A48">
      <selection activeCell="A56" sqref="A56:M56"/>
    </sheetView>
  </sheetViews>
  <sheetFormatPr defaultColWidth="9.140625" defaultRowHeight="15"/>
  <cols>
    <col min="1" max="1" width="7.140625" style="1" bestFit="1" customWidth="1"/>
    <col min="2" max="2" width="9.140625" style="1" bestFit="1" customWidth="1"/>
    <col min="3" max="3" width="5.28125" style="1" bestFit="1" customWidth="1"/>
    <col min="4" max="4" width="48.8515625" style="1" bestFit="1" customWidth="1"/>
    <col min="5" max="5" width="6.421875" style="1" bestFit="1" customWidth="1"/>
    <col min="6" max="6" width="6.57421875" style="1" bestFit="1" customWidth="1"/>
    <col min="7" max="7" width="9.421875" style="1" bestFit="1" customWidth="1"/>
    <col min="8" max="8" width="13.7109375" style="1" bestFit="1" customWidth="1"/>
    <col min="9" max="9" width="8.28125" style="1" bestFit="1" customWidth="1"/>
    <col min="10" max="12" width="9.140625" style="1" customWidth="1"/>
    <col min="13" max="13" width="43.00390625" style="1" customWidth="1"/>
    <col min="14" max="16384" width="9.140625" style="1" customWidth="1"/>
  </cols>
  <sheetData>
    <row r="1" spans="1:13" ht="24.95" customHeight="1">
      <c r="A1" s="125" t="s">
        <v>196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24.95" customHeight="1">
      <c r="A2" s="128" t="s">
        <v>115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31.5" customHeight="1">
      <c r="A3" s="131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6" ht="47.25" customHeight="1">
      <c r="A4" s="2" t="s">
        <v>64</v>
      </c>
      <c r="B4" s="2" t="s">
        <v>65</v>
      </c>
      <c r="C4" s="2" t="s">
        <v>31</v>
      </c>
      <c r="D4" s="2" t="s">
        <v>32</v>
      </c>
      <c r="E4" s="2" t="s">
        <v>9</v>
      </c>
      <c r="F4" s="2" t="s">
        <v>33</v>
      </c>
      <c r="G4" s="3" t="s">
        <v>34</v>
      </c>
      <c r="H4" s="3" t="s">
        <v>35</v>
      </c>
      <c r="I4" s="2" t="s">
        <v>36</v>
      </c>
      <c r="J4" s="135" t="s">
        <v>0</v>
      </c>
      <c r="K4" s="135"/>
      <c r="L4" s="135"/>
      <c r="M4" s="135"/>
      <c r="N4" s="4"/>
      <c r="O4" s="4"/>
      <c r="P4" s="4"/>
    </row>
    <row r="5" spans="1:16" ht="24.95" customHeight="1">
      <c r="A5" s="5"/>
      <c r="B5" s="6"/>
      <c r="C5" s="134"/>
      <c r="D5" s="134"/>
      <c r="E5" s="7"/>
      <c r="F5" s="7"/>
      <c r="G5" s="8">
        <v>1.3</v>
      </c>
      <c r="H5" s="9"/>
      <c r="I5" s="7"/>
      <c r="J5" s="134"/>
      <c r="K5" s="134"/>
      <c r="L5" s="134"/>
      <c r="M5" s="136"/>
      <c r="N5" s="4"/>
      <c r="O5" s="4"/>
      <c r="P5" s="4"/>
    </row>
    <row r="6" spans="1:16" ht="24.95" customHeight="1">
      <c r="A6" s="10"/>
      <c r="B6" s="10"/>
      <c r="C6" s="11" t="s">
        <v>10</v>
      </c>
      <c r="D6" s="12" t="s">
        <v>155</v>
      </c>
      <c r="E6" s="13"/>
      <c r="F6" s="13"/>
      <c r="G6" s="14"/>
      <c r="H6" s="15">
        <f>SUM(H7:H9)</f>
        <v>644.1695</v>
      </c>
      <c r="I6" s="16">
        <f>H6/H54</f>
        <v>0.007587363347713271</v>
      </c>
      <c r="J6" s="87"/>
      <c r="K6" s="88"/>
      <c r="L6" s="88"/>
      <c r="M6" s="89"/>
      <c r="N6" s="4"/>
      <c r="O6" s="4"/>
      <c r="P6" s="4"/>
    </row>
    <row r="7" spans="1:16" ht="36.75" customHeight="1">
      <c r="A7" s="2" t="s">
        <v>66</v>
      </c>
      <c r="B7" s="2">
        <v>93199</v>
      </c>
      <c r="C7" s="2" t="s">
        <v>28</v>
      </c>
      <c r="D7" s="17" t="s">
        <v>157</v>
      </c>
      <c r="E7" s="2" t="s">
        <v>68</v>
      </c>
      <c r="F7" s="18">
        <v>8</v>
      </c>
      <c r="G7" s="19">
        <f>24.2*G5</f>
        <v>31.46</v>
      </c>
      <c r="H7" s="3">
        <f>F7*G7</f>
        <v>251.68</v>
      </c>
      <c r="I7" s="2"/>
      <c r="J7" s="90" t="s">
        <v>156</v>
      </c>
      <c r="K7" s="91"/>
      <c r="L7" s="91"/>
      <c r="M7" s="92"/>
      <c r="N7" s="4"/>
      <c r="O7" s="4"/>
      <c r="P7" s="4"/>
    </row>
    <row r="8" spans="1:16" ht="24.95" customHeight="1">
      <c r="A8" s="2" t="s">
        <v>66</v>
      </c>
      <c r="B8" s="2">
        <v>89995</v>
      </c>
      <c r="C8" s="2" t="s">
        <v>111</v>
      </c>
      <c r="D8" s="17" t="s">
        <v>159</v>
      </c>
      <c r="E8" s="2" t="s">
        <v>91</v>
      </c>
      <c r="F8" s="18">
        <v>0.5</v>
      </c>
      <c r="G8" s="18">
        <f>573.91*G5</f>
        <v>746.083</v>
      </c>
      <c r="H8" s="20">
        <f>F8*G8</f>
        <v>373.0415</v>
      </c>
      <c r="I8" s="2"/>
      <c r="J8" s="103" t="s">
        <v>158</v>
      </c>
      <c r="K8" s="104"/>
      <c r="L8" s="104"/>
      <c r="M8" s="105"/>
      <c r="N8" s="4"/>
      <c r="O8" s="4"/>
      <c r="P8" s="4"/>
    </row>
    <row r="9" spans="1:16" ht="48" customHeight="1">
      <c r="A9" s="2" t="s">
        <v>66</v>
      </c>
      <c r="B9" s="2">
        <v>92919</v>
      </c>
      <c r="C9" s="2" t="s">
        <v>163</v>
      </c>
      <c r="D9" s="17" t="s">
        <v>162</v>
      </c>
      <c r="E9" s="2" t="s">
        <v>161</v>
      </c>
      <c r="F9" s="18">
        <v>2</v>
      </c>
      <c r="G9" s="18">
        <f>7.48*G5</f>
        <v>9.724</v>
      </c>
      <c r="H9" s="20">
        <f>F9*G9</f>
        <v>19.448</v>
      </c>
      <c r="I9" s="2"/>
      <c r="J9" s="90" t="s">
        <v>160</v>
      </c>
      <c r="K9" s="91"/>
      <c r="L9" s="91"/>
      <c r="M9" s="92"/>
      <c r="N9" s="4"/>
      <c r="O9" s="4"/>
      <c r="P9" s="4"/>
    </row>
    <row r="10" spans="1:13" ht="24.95" customHeight="1">
      <c r="A10" s="10"/>
      <c r="B10" s="10"/>
      <c r="C10" s="11" t="s">
        <v>27</v>
      </c>
      <c r="D10" s="12" t="s">
        <v>1</v>
      </c>
      <c r="E10" s="13"/>
      <c r="F10" s="21"/>
      <c r="G10" s="13"/>
      <c r="H10" s="22">
        <f>SUM(H11:H12)</f>
        <v>3362.9895000000006</v>
      </c>
      <c r="I10" s="16">
        <f>H10/H54</f>
        <v>0.039611039130298134</v>
      </c>
      <c r="J10" s="87"/>
      <c r="K10" s="88"/>
      <c r="L10" s="88"/>
      <c r="M10" s="89"/>
    </row>
    <row r="11" spans="1:13" ht="72" customHeight="1">
      <c r="A11" s="2" t="s">
        <v>66</v>
      </c>
      <c r="B11" s="2">
        <v>96359</v>
      </c>
      <c r="C11" s="2" t="s">
        <v>11</v>
      </c>
      <c r="D11" s="17" t="s">
        <v>2</v>
      </c>
      <c r="E11" s="2" t="s">
        <v>3</v>
      </c>
      <c r="F11" s="23">
        <v>21.3</v>
      </c>
      <c r="G11" s="23">
        <f>83.43*$G$5</f>
        <v>108.45900000000002</v>
      </c>
      <c r="H11" s="23">
        <f>F11*G11</f>
        <v>2310.1767000000004</v>
      </c>
      <c r="I11" s="24"/>
      <c r="J11" s="93" t="s">
        <v>114</v>
      </c>
      <c r="K11" s="93"/>
      <c r="L11" s="93"/>
      <c r="M11" s="93"/>
    </row>
    <row r="12" spans="1:13" ht="72" customHeight="1">
      <c r="A12" s="2" t="s">
        <v>66</v>
      </c>
      <c r="B12" s="2">
        <v>87450</v>
      </c>
      <c r="C12" s="2" t="s">
        <v>12</v>
      </c>
      <c r="D12" s="17" t="s">
        <v>101</v>
      </c>
      <c r="E12" s="2" t="s">
        <v>3</v>
      </c>
      <c r="F12" s="23">
        <v>12.8</v>
      </c>
      <c r="G12" s="23">
        <f>63.27*G5</f>
        <v>82.251</v>
      </c>
      <c r="H12" s="23">
        <f>F12*G12</f>
        <v>1052.8128000000002</v>
      </c>
      <c r="I12" s="24"/>
      <c r="J12" s="93" t="s">
        <v>100</v>
      </c>
      <c r="K12" s="93"/>
      <c r="L12" s="93"/>
      <c r="M12" s="93"/>
    </row>
    <row r="13" spans="1:13" ht="24.95" customHeight="1">
      <c r="A13" s="10"/>
      <c r="B13" s="10"/>
      <c r="C13" s="11" t="s">
        <v>26</v>
      </c>
      <c r="D13" s="12" t="s">
        <v>4</v>
      </c>
      <c r="E13" s="13"/>
      <c r="F13" s="21"/>
      <c r="G13" s="13"/>
      <c r="H13" s="22">
        <f>SUM(H14:H16)</f>
        <v>8689.510699999999</v>
      </c>
      <c r="I13" s="16">
        <f>H13/H54</f>
        <v>0.10234957568581295</v>
      </c>
      <c r="J13" s="87"/>
      <c r="K13" s="88"/>
      <c r="L13" s="88"/>
      <c r="M13" s="89"/>
    </row>
    <row r="14" spans="1:13" ht="59.25" customHeight="1">
      <c r="A14" s="2" t="s">
        <v>66</v>
      </c>
      <c r="B14" s="2">
        <v>100702</v>
      </c>
      <c r="C14" s="2" t="s">
        <v>13</v>
      </c>
      <c r="D14" s="17" t="s">
        <v>5</v>
      </c>
      <c r="E14" s="2" t="s">
        <v>3</v>
      </c>
      <c r="F14" s="23">
        <v>12.9</v>
      </c>
      <c r="G14" s="23">
        <f>318.27*G5</f>
        <v>413.751</v>
      </c>
      <c r="H14" s="23">
        <f>F14*G14</f>
        <v>5337.3879</v>
      </c>
      <c r="I14" s="24"/>
      <c r="J14" s="93" t="s">
        <v>121</v>
      </c>
      <c r="K14" s="93"/>
      <c r="L14" s="93"/>
      <c r="M14" s="93"/>
    </row>
    <row r="15" spans="1:13" ht="69.75" customHeight="1">
      <c r="A15" s="2" t="s">
        <v>66</v>
      </c>
      <c r="B15" s="2">
        <v>94569</v>
      </c>
      <c r="C15" s="2" t="s">
        <v>171</v>
      </c>
      <c r="D15" s="17" t="s">
        <v>105</v>
      </c>
      <c r="E15" s="2" t="s">
        <v>3</v>
      </c>
      <c r="F15" s="23">
        <v>0.8</v>
      </c>
      <c r="G15" s="23">
        <f>374.77*G5</f>
        <v>487.20099999999996</v>
      </c>
      <c r="H15" s="23">
        <f>F15*G15</f>
        <v>389.7608</v>
      </c>
      <c r="I15" s="24"/>
      <c r="J15" s="93" t="s">
        <v>106</v>
      </c>
      <c r="K15" s="93"/>
      <c r="L15" s="93"/>
      <c r="M15" s="93"/>
    </row>
    <row r="16" spans="1:13" ht="69.75" customHeight="1">
      <c r="A16" s="2" t="s">
        <v>66</v>
      </c>
      <c r="B16" s="2">
        <v>90844</v>
      </c>
      <c r="C16" s="2" t="s">
        <v>172</v>
      </c>
      <c r="D16" s="17" t="s">
        <v>5</v>
      </c>
      <c r="E16" s="2" t="s">
        <v>6</v>
      </c>
      <c r="F16" s="23">
        <v>3</v>
      </c>
      <c r="G16" s="23">
        <f>759.58*G5</f>
        <v>987.4540000000001</v>
      </c>
      <c r="H16" s="23">
        <f>F16*G16</f>
        <v>2962.362</v>
      </c>
      <c r="I16" s="24"/>
      <c r="J16" s="93" t="s">
        <v>37</v>
      </c>
      <c r="K16" s="93"/>
      <c r="L16" s="93"/>
      <c r="M16" s="93"/>
    </row>
    <row r="17" spans="1:13" ht="47.25" customHeight="1">
      <c r="A17" s="13"/>
      <c r="B17" s="13"/>
      <c r="C17" s="11" t="s">
        <v>25</v>
      </c>
      <c r="D17" s="12" t="s">
        <v>104</v>
      </c>
      <c r="E17" s="13"/>
      <c r="F17" s="21"/>
      <c r="G17" s="21"/>
      <c r="H17" s="22">
        <f>SUM(H18:H21)</f>
        <v>1580.1655999999998</v>
      </c>
      <c r="I17" s="16">
        <f>H17/H54</f>
        <v>0.01861201214394247</v>
      </c>
      <c r="J17" s="137"/>
      <c r="K17" s="137"/>
      <c r="L17" s="137"/>
      <c r="M17" s="137"/>
    </row>
    <row r="18" spans="1:13" ht="54.75" customHeight="1">
      <c r="A18" s="2" t="s">
        <v>66</v>
      </c>
      <c r="B18" s="2">
        <v>87878</v>
      </c>
      <c r="C18" s="2" t="s">
        <v>14</v>
      </c>
      <c r="D18" s="17" t="s">
        <v>102</v>
      </c>
      <c r="E18" s="2" t="s">
        <v>3</v>
      </c>
      <c r="F18" s="23">
        <f>F20+F21</f>
        <v>24.799999999999997</v>
      </c>
      <c r="G18" s="23">
        <f>3.36*G5</f>
        <v>4.368</v>
      </c>
      <c r="H18" s="23">
        <f aca="true" t="shared" si="0" ref="H18:H21">F18*G18</f>
        <v>108.32639999999999</v>
      </c>
      <c r="I18" s="24"/>
      <c r="J18" s="93" t="s">
        <v>139</v>
      </c>
      <c r="K18" s="93"/>
      <c r="L18" s="93"/>
      <c r="M18" s="93"/>
    </row>
    <row r="19" spans="1:13" ht="61.5" customHeight="1">
      <c r="A19" s="2" t="s">
        <v>66</v>
      </c>
      <c r="B19" s="2">
        <v>87528</v>
      </c>
      <c r="C19" s="2" t="s">
        <v>173</v>
      </c>
      <c r="D19" s="17" t="s">
        <v>137</v>
      </c>
      <c r="E19" s="2" t="s">
        <v>3</v>
      </c>
      <c r="F19" s="23">
        <v>11.2</v>
      </c>
      <c r="G19" s="23">
        <f>32.02*G5</f>
        <v>41.626000000000005</v>
      </c>
      <c r="H19" s="23">
        <f t="shared" si="0"/>
        <v>466.2112</v>
      </c>
      <c r="I19" s="24"/>
      <c r="J19" s="90" t="s">
        <v>138</v>
      </c>
      <c r="K19" s="91"/>
      <c r="L19" s="91"/>
      <c r="M19" s="92"/>
    </row>
    <row r="20" spans="1:13" ht="78.75" customHeight="1">
      <c r="A20" s="2" t="s">
        <v>66</v>
      </c>
      <c r="B20" s="2">
        <v>87548</v>
      </c>
      <c r="C20" s="2" t="s">
        <v>174</v>
      </c>
      <c r="D20" s="17" t="s">
        <v>103</v>
      </c>
      <c r="E20" s="2" t="s">
        <v>3</v>
      </c>
      <c r="F20" s="23">
        <v>13.6</v>
      </c>
      <c r="G20" s="23">
        <f>18.75*G5</f>
        <v>24.375</v>
      </c>
      <c r="H20" s="23">
        <f t="shared" si="0"/>
        <v>331.5</v>
      </c>
      <c r="I20" s="24"/>
      <c r="J20" s="93" t="s">
        <v>193</v>
      </c>
      <c r="K20" s="93"/>
      <c r="L20" s="93"/>
      <c r="M20" s="93"/>
    </row>
    <row r="21" spans="1:13" ht="66.75" customHeight="1">
      <c r="A21" s="2" t="s">
        <v>66</v>
      </c>
      <c r="B21" s="2">
        <v>87265</v>
      </c>
      <c r="C21" s="2" t="s">
        <v>175</v>
      </c>
      <c r="D21" s="17" t="s">
        <v>135</v>
      </c>
      <c r="E21" s="2" t="s">
        <v>3</v>
      </c>
      <c r="F21" s="23">
        <v>11.2</v>
      </c>
      <c r="G21" s="23">
        <f>46.3*G5</f>
        <v>60.19</v>
      </c>
      <c r="H21" s="23">
        <f t="shared" si="0"/>
        <v>674.1279999999999</v>
      </c>
      <c r="I21" s="24"/>
      <c r="J21" s="90" t="s">
        <v>136</v>
      </c>
      <c r="K21" s="91"/>
      <c r="L21" s="91"/>
      <c r="M21" s="92"/>
    </row>
    <row r="22" spans="1:13" ht="24.95" customHeight="1">
      <c r="A22" s="13"/>
      <c r="B22" s="13"/>
      <c r="C22" s="11" t="s">
        <v>24</v>
      </c>
      <c r="D22" s="12" t="s">
        <v>107</v>
      </c>
      <c r="E22" s="13"/>
      <c r="F22" s="21"/>
      <c r="G22" s="21"/>
      <c r="H22" s="22">
        <f>SUM(H23:H30)</f>
        <v>1602.954</v>
      </c>
      <c r="I22" s="16">
        <f>H22/H54</f>
        <v>0.018880425769413765</v>
      </c>
      <c r="J22" s="137"/>
      <c r="K22" s="137"/>
      <c r="L22" s="137"/>
      <c r="M22" s="137"/>
    </row>
    <row r="23" spans="1:13" s="29" customFormat="1" ht="39" customHeight="1">
      <c r="A23" s="25" t="s">
        <v>66</v>
      </c>
      <c r="B23" s="25">
        <v>86895</v>
      </c>
      <c r="C23" s="25" t="s">
        <v>15</v>
      </c>
      <c r="D23" s="26" t="s">
        <v>141</v>
      </c>
      <c r="E23" s="25" t="s">
        <v>9</v>
      </c>
      <c r="F23" s="27">
        <v>1</v>
      </c>
      <c r="G23" s="27">
        <v>298.43</v>
      </c>
      <c r="H23" s="27">
        <f>F23*G23</f>
        <v>298.43</v>
      </c>
      <c r="I23" s="28"/>
      <c r="J23" s="94" t="s">
        <v>140</v>
      </c>
      <c r="K23" s="95"/>
      <c r="L23" s="95"/>
      <c r="M23" s="96"/>
    </row>
    <row r="24" spans="1:13" s="29" customFormat="1" ht="39" customHeight="1">
      <c r="A24" s="25" t="s">
        <v>66</v>
      </c>
      <c r="B24" s="25">
        <v>86901</v>
      </c>
      <c r="C24" s="25" t="s">
        <v>16</v>
      </c>
      <c r="D24" s="26" t="s">
        <v>143</v>
      </c>
      <c r="E24" s="25" t="s">
        <v>9</v>
      </c>
      <c r="F24" s="27">
        <v>1</v>
      </c>
      <c r="G24" s="27">
        <f>110.51*G5</f>
        <v>143.663</v>
      </c>
      <c r="H24" s="27">
        <f>F24*G24</f>
        <v>143.663</v>
      </c>
      <c r="I24" s="28"/>
      <c r="J24" s="94" t="s">
        <v>142</v>
      </c>
      <c r="K24" s="95"/>
      <c r="L24" s="95"/>
      <c r="M24" s="96"/>
    </row>
    <row r="25" spans="1:13" s="29" customFormat="1" ht="46.5" customHeight="1">
      <c r="A25" s="2" t="s">
        <v>66</v>
      </c>
      <c r="B25" s="2">
        <v>86906</v>
      </c>
      <c r="C25" s="25" t="s">
        <v>17</v>
      </c>
      <c r="D25" s="30" t="s">
        <v>152</v>
      </c>
      <c r="E25" s="2" t="s">
        <v>9</v>
      </c>
      <c r="F25" s="23">
        <v>1</v>
      </c>
      <c r="G25" s="23">
        <f>47.82*G5</f>
        <v>62.166000000000004</v>
      </c>
      <c r="H25" s="23">
        <f aca="true" t="shared" si="1" ref="H25:H30">F25*G25</f>
        <v>62.166000000000004</v>
      </c>
      <c r="I25" s="24"/>
      <c r="J25" s="94" t="s">
        <v>110</v>
      </c>
      <c r="K25" s="95"/>
      <c r="L25" s="95"/>
      <c r="M25" s="96"/>
    </row>
    <row r="26" spans="1:13" s="29" customFormat="1" ht="39" customHeight="1">
      <c r="A26" s="2" t="s">
        <v>66</v>
      </c>
      <c r="B26" s="2">
        <v>86885</v>
      </c>
      <c r="C26" s="25" t="s">
        <v>18</v>
      </c>
      <c r="D26" s="30" t="s">
        <v>153</v>
      </c>
      <c r="E26" s="2" t="s">
        <v>9</v>
      </c>
      <c r="F26" s="23">
        <v>1</v>
      </c>
      <c r="G26" s="23">
        <f>11.84*G5</f>
        <v>15.392</v>
      </c>
      <c r="H26" s="23">
        <f t="shared" si="1"/>
        <v>15.392</v>
      </c>
      <c r="I26" s="24"/>
      <c r="J26" s="94" t="s">
        <v>108</v>
      </c>
      <c r="K26" s="95"/>
      <c r="L26" s="95"/>
      <c r="M26" s="96"/>
    </row>
    <row r="27" spans="1:13" s="29" customFormat="1" ht="39" customHeight="1">
      <c r="A27" s="2" t="s">
        <v>66</v>
      </c>
      <c r="B27" s="2">
        <v>86883</v>
      </c>
      <c r="C27" s="25" t="s">
        <v>74</v>
      </c>
      <c r="D27" s="30" t="s">
        <v>154</v>
      </c>
      <c r="E27" s="2" t="s">
        <v>9</v>
      </c>
      <c r="F27" s="23">
        <v>1</v>
      </c>
      <c r="G27" s="23">
        <f>11.42*G5</f>
        <v>14.846</v>
      </c>
      <c r="H27" s="23">
        <f t="shared" si="1"/>
        <v>14.846</v>
      </c>
      <c r="I27" s="24"/>
      <c r="J27" s="94" t="s">
        <v>109</v>
      </c>
      <c r="K27" s="95"/>
      <c r="L27" s="95"/>
      <c r="M27" s="96"/>
    </row>
    <row r="28" spans="1:13" s="29" customFormat="1" ht="39" customHeight="1">
      <c r="A28" s="25" t="s">
        <v>66</v>
      </c>
      <c r="B28" s="25">
        <v>100860</v>
      </c>
      <c r="C28" s="25" t="s">
        <v>75</v>
      </c>
      <c r="D28" s="26" t="s">
        <v>146</v>
      </c>
      <c r="E28" s="25" t="s">
        <v>9</v>
      </c>
      <c r="F28" s="27">
        <v>2</v>
      </c>
      <c r="G28" s="27">
        <f>76.48*G5</f>
        <v>99.424</v>
      </c>
      <c r="H28" s="23">
        <f t="shared" si="1"/>
        <v>198.848</v>
      </c>
      <c r="I28" s="28"/>
      <c r="J28" s="94" t="s">
        <v>147</v>
      </c>
      <c r="K28" s="95"/>
      <c r="L28" s="95"/>
      <c r="M28" s="96"/>
    </row>
    <row r="29" spans="1:13" s="29" customFormat="1" ht="39" customHeight="1">
      <c r="A29" s="25" t="s">
        <v>66</v>
      </c>
      <c r="B29" s="25">
        <v>100872</v>
      </c>
      <c r="C29" s="25" t="s">
        <v>76</v>
      </c>
      <c r="D29" s="26" t="s">
        <v>149</v>
      </c>
      <c r="E29" s="25" t="s">
        <v>9</v>
      </c>
      <c r="F29" s="27">
        <v>2</v>
      </c>
      <c r="G29" s="27">
        <f>219.93*G5</f>
        <v>285.909</v>
      </c>
      <c r="H29" s="23">
        <f t="shared" si="1"/>
        <v>571.818</v>
      </c>
      <c r="I29" s="28"/>
      <c r="J29" s="94" t="s">
        <v>148</v>
      </c>
      <c r="K29" s="95"/>
      <c r="L29" s="95"/>
      <c r="M29" s="96"/>
    </row>
    <row r="30" spans="1:13" s="29" customFormat="1" ht="39" customHeight="1">
      <c r="A30" s="25" t="s">
        <v>66</v>
      </c>
      <c r="B30" s="25">
        <v>100874</v>
      </c>
      <c r="C30" s="25" t="s">
        <v>176</v>
      </c>
      <c r="D30" s="26" t="s">
        <v>151</v>
      </c>
      <c r="E30" s="25" t="s">
        <v>9</v>
      </c>
      <c r="F30" s="27">
        <v>1</v>
      </c>
      <c r="G30" s="27">
        <f>229.07*G5</f>
        <v>297.791</v>
      </c>
      <c r="H30" s="23">
        <f t="shared" si="1"/>
        <v>297.791</v>
      </c>
      <c r="I30" s="28"/>
      <c r="J30" s="94" t="s">
        <v>150</v>
      </c>
      <c r="K30" s="95"/>
      <c r="L30" s="95"/>
      <c r="M30" s="96"/>
    </row>
    <row r="31" spans="1:13" s="29" customFormat="1" ht="24.95" customHeight="1">
      <c r="A31" s="10"/>
      <c r="B31" s="10"/>
      <c r="C31" s="11" t="s">
        <v>23</v>
      </c>
      <c r="D31" s="12" t="s">
        <v>7</v>
      </c>
      <c r="E31" s="13"/>
      <c r="F31" s="21"/>
      <c r="G31" s="13"/>
      <c r="H31" s="22">
        <f>SUM(H32:H36)</f>
        <v>33765.329</v>
      </c>
      <c r="I31" s="16">
        <f>H31/H54</f>
        <v>0.39770560338246375</v>
      </c>
      <c r="J31" s="87"/>
      <c r="K31" s="88"/>
      <c r="L31" s="88"/>
      <c r="M31" s="89"/>
    </row>
    <row r="32" spans="1:13" s="29" customFormat="1" ht="43.5" customHeight="1">
      <c r="A32" s="2" t="s">
        <v>66</v>
      </c>
      <c r="B32" s="2">
        <v>88489</v>
      </c>
      <c r="C32" s="2" t="s">
        <v>19</v>
      </c>
      <c r="D32" s="17" t="s">
        <v>70</v>
      </c>
      <c r="E32" s="2" t="s">
        <v>3</v>
      </c>
      <c r="F32" s="23">
        <v>729.4</v>
      </c>
      <c r="G32" s="23">
        <f>12.94*$G$5</f>
        <v>16.822</v>
      </c>
      <c r="H32" s="23">
        <f>F32*G32</f>
        <v>12269.966799999998</v>
      </c>
      <c r="I32" s="24"/>
      <c r="J32" s="93" t="s">
        <v>164</v>
      </c>
      <c r="K32" s="93"/>
      <c r="L32" s="93"/>
      <c r="M32" s="93"/>
    </row>
    <row r="33" spans="1:13" s="29" customFormat="1" ht="43.5" customHeight="1">
      <c r="A33" s="2" t="s">
        <v>66</v>
      </c>
      <c r="B33" s="2">
        <v>88486</v>
      </c>
      <c r="C33" s="2" t="s">
        <v>20</v>
      </c>
      <c r="D33" s="17" t="s">
        <v>71</v>
      </c>
      <c r="E33" s="2" t="s">
        <v>3</v>
      </c>
      <c r="F33" s="23">
        <v>386.35</v>
      </c>
      <c r="G33" s="23">
        <f>11.44*G5</f>
        <v>14.872</v>
      </c>
      <c r="H33" s="23">
        <f aca="true" t="shared" si="2" ref="H33:H36">F33*G33</f>
        <v>5745.7972</v>
      </c>
      <c r="I33" s="24"/>
      <c r="J33" s="93" t="s">
        <v>165</v>
      </c>
      <c r="K33" s="93"/>
      <c r="L33" s="93"/>
      <c r="M33" s="93"/>
    </row>
    <row r="34" spans="1:13" s="29" customFormat="1" ht="43.5" customHeight="1">
      <c r="A34" s="2" t="s">
        <v>66</v>
      </c>
      <c r="B34" s="2">
        <v>88487</v>
      </c>
      <c r="C34" s="2" t="s">
        <v>21</v>
      </c>
      <c r="D34" s="17" t="s">
        <v>72</v>
      </c>
      <c r="E34" s="2" t="s">
        <v>3</v>
      </c>
      <c r="F34" s="23">
        <v>823.1</v>
      </c>
      <c r="G34" s="23">
        <f>10.2*G5</f>
        <v>13.26</v>
      </c>
      <c r="H34" s="23">
        <f t="shared" si="2"/>
        <v>10914.306</v>
      </c>
      <c r="I34" s="24"/>
      <c r="J34" s="93" t="s">
        <v>166</v>
      </c>
      <c r="K34" s="93"/>
      <c r="L34" s="93"/>
      <c r="M34" s="93"/>
    </row>
    <row r="35" spans="1:13" s="29" customFormat="1" ht="43.5" customHeight="1">
      <c r="A35" s="2" t="s">
        <v>67</v>
      </c>
      <c r="B35" s="2" t="s">
        <v>170</v>
      </c>
      <c r="C35" s="2" t="s">
        <v>22</v>
      </c>
      <c r="D35" s="30" t="s">
        <v>73</v>
      </c>
      <c r="E35" s="2" t="s">
        <v>3</v>
      </c>
      <c r="F35" s="23">
        <v>153</v>
      </c>
      <c r="G35" s="23">
        <f>5.56*G5</f>
        <v>7.228</v>
      </c>
      <c r="H35" s="23">
        <f t="shared" si="2"/>
        <v>1105.884</v>
      </c>
      <c r="I35" s="24"/>
      <c r="J35" s="93" t="s">
        <v>167</v>
      </c>
      <c r="K35" s="93"/>
      <c r="L35" s="93"/>
      <c r="M35" s="93"/>
    </row>
    <row r="36" spans="1:13" s="29" customFormat="1" ht="43.5" customHeight="1">
      <c r="A36" s="2" t="s">
        <v>66</v>
      </c>
      <c r="B36" s="2">
        <v>6082</v>
      </c>
      <c r="C36" s="2" t="s">
        <v>168</v>
      </c>
      <c r="D36" s="17" t="s">
        <v>8</v>
      </c>
      <c r="E36" s="2" t="s">
        <v>3</v>
      </c>
      <c r="F36" s="23">
        <v>153</v>
      </c>
      <c r="G36" s="23">
        <f>18.75*G5</f>
        <v>24.375</v>
      </c>
      <c r="H36" s="23">
        <f t="shared" si="2"/>
        <v>3729.375</v>
      </c>
      <c r="I36" s="24"/>
      <c r="J36" s="93" t="s">
        <v>169</v>
      </c>
      <c r="K36" s="93"/>
      <c r="L36" s="93"/>
      <c r="M36" s="93"/>
    </row>
    <row r="37" spans="1:13" ht="36.75" customHeight="1">
      <c r="A37" s="13"/>
      <c r="B37" s="31"/>
      <c r="C37" s="11" t="s">
        <v>29</v>
      </c>
      <c r="D37" s="32" t="s">
        <v>93</v>
      </c>
      <c r="E37" s="13"/>
      <c r="F37" s="21"/>
      <c r="G37" s="21"/>
      <c r="H37" s="22">
        <f>H38:H38</f>
        <v>88.09632</v>
      </c>
      <c r="I37" s="16">
        <f>H37/H54</f>
        <v>0.0010376442682188767</v>
      </c>
      <c r="J37" s="109"/>
      <c r="K37" s="109"/>
      <c r="L37" s="109"/>
      <c r="M37" s="109"/>
    </row>
    <row r="38" spans="1:13" ht="36.75" customHeight="1">
      <c r="A38" s="2" t="s">
        <v>67</v>
      </c>
      <c r="B38" s="3" t="s">
        <v>95</v>
      </c>
      <c r="C38" s="2" t="s">
        <v>78</v>
      </c>
      <c r="D38" s="30" t="s">
        <v>94</v>
      </c>
      <c r="E38" s="2" t="s">
        <v>3</v>
      </c>
      <c r="F38" s="23">
        <v>3.12</v>
      </c>
      <c r="G38" s="23">
        <f>21.72*G5</f>
        <v>28.236</v>
      </c>
      <c r="H38" s="23">
        <f aca="true" t="shared" si="3" ref="H38:H47">F38*G38</f>
        <v>88.09632</v>
      </c>
      <c r="I38" s="33"/>
      <c r="J38" s="97" t="s">
        <v>189</v>
      </c>
      <c r="K38" s="98"/>
      <c r="L38" s="98"/>
      <c r="M38" s="99"/>
    </row>
    <row r="39" spans="1:13" ht="36.75" customHeight="1">
      <c r="A39" s="13"/>
      <c r="B39" s="31"/>
      <c r="C39" s="11" t="s">
        <v>177</v>
      </c>
      <c r="D39" s="32" t="s">
        <v>69</v>
      </c>
      <c r="E39" s="13"/>
      <c r="F39" s="21"/>
      <c r="G39" s="21"/>
      <c r="H39" s="22">
        <f>H40</f>
        <v>36.805859999999996</v>
      </c>
      <c r="I39" s="16">
        <f>H39/H54</f>
        <v>0.0004335185586170503</v>
      </c>
      <c r="J39" s="100"/>
      <c r="K39" s="101"/>
      <c r="L39" s="101"/>
      <c r="M39" s="102"/>
    </row>
    <row r="40" spans="1:13" ht="36.75" customHeight="1">
      <c r="A40" s="2" t="s">
        <v>66</v>
      </c>
      <c r="B40" s="3">
        <v>97644</v>
      </c>
      <c r="C40" s="2" t="s">
        <v>77</v>
      </c>
      <c r="D40" s="30" t="s">
        <v>122</v>
      </c>
      <c r="E40" s="2" t="s">
        <v>3</v>
      </c>
      <c r="F40" s="23">
        <v>3.78</v>
      </c>
      <c r="G40" s="23">
        <f>7.49*G5</f>
        <v>9.737</v>
      </c>
      <c r="H40" s="23">
        <f t="shared" si="3"/>
        <v>36.805859999999996</v>
      </c>
      <c r="I40" s="33"/>
      <c r="J40" s="97" t="s">
        <v>190</v>
      </c>
      <c r="K40" s="98"/>
      <c r="L40" s="98"/>
      <c r="M40" s="99"/>
    </row>
    <row r="41" spans="1:13" ht="36.75" customHeight="1">
      <c r="A41" s="13"/>
      <c r="B41" s="31"/>
      <c r="C41" s="11" t="s">
        <v>79</v>
      </c>
      <c r="D41" s="32" t="s">
        <v>96</v>
      </c>
      <c r="E41" s="13"/>
      <c r="F41" s="21"/>
      <c r="G41" s="21"/>
      <c r="H41" s="22">
        <f>H42+H43</f>
        <v>287.76488</v>
      </c>
      <c r="I41" s="16">
        <f>H41/H54</f>
        <v>0.0033894443982074715</v>
      </c>
      <c r="J41" s="109"/>
      <c r="K41" s="109"/>
      <c r="L41" s="109"/>
      <c r="M41" s="109"/>
    </row>
    <row r="42" spans="1:13" ht="36.75" customHeight="1">
      <c r="A42" s="2" t="s">
        <v>67</v>
      </c>
      <c r="B42" s="3" t="s">
        <v>97</v>
      </c>
      <c r="C42" s="2" t="s">
        <v>178</v>
      </c>
      <c r="D42" s="30" t="s">
        <v>144</v>
      </c>
      <c r="E42" s="2" t="s">
        <v>3</v>
      </c>
      <c r="F42" s="23">
        <v>2.28</v>
      </c>
      <c r="G42" s="23">
        <f>43.42*G5</f>
        <v>56.446000000000005</v>
      </c>
      <c r="H42" s="23">
        <f t="shared" si="3"/>
        <v>128.69688</v>
      </c>
      <c r="I42" s="33"/>
      <c r="J42" s="97" t="s">
        <v>191</v>
      </c>
      <c r="K42" s="98"/>
      <c r="L42" s="98"/>
      <c r="M42" s="99"/>
    </row>
    <row r="43" spans="1:13" ht="36.75" customHeight="1">
      <c r="A43" s="2" t="s">
        <v>67</v>
      </c>
      <c r="B43" s="3" t="s">
        <v>123</v>
      </c>
      <c r="C43" s="2" t="s">
        <v>179</v>
      </c>
      <c r="D43" s="30" t="s">
        <v>145</v>
      </c>
      <c r="E43" s="2" t="s">
        <v>9</v>
      </c>
      <c r="F43" s="23">
        <v>4</v>
      </c>
      <c r="G43" s="23">
        <f>30.59*G5</f>
        <v>39.767</v>
      </c>
      <c r="H43" s="23">
        <f t="shared" si="3"/>
        <v>159.068</v>
      </c>
      <c r="I43" s="33"/>
      <c r="J43" s="97" t="s">
        <v>192</v>
      </c>
      <c r="K43" s="98"/>
      <c r="L43" s="98"/>
      <c r="M43" s="99"/>
    </row>
    <row r="44" spans="1:13" ht="36.75" customHeight="1">
      <c r="A44" s="13"/>
      <c r="B44" s="31"/>
      <c r="C44" s="11" t="s">
        <v>112</v>
      </c>
      <c r="D44" s="32" t="s">
        <v>119</v>
      </c>
      <c r="E44" s="13"/>
      <c r="F44" s="21"/>
      <c r="G44" s="21"/>
      <c r="H44" s="22">
        <f>H45</f>
        <v>163.66025000000002</v>
      </c>
      <c r="I44" s="16">
        <f>H44/H54</f>
        <v>0.0019276755300081595</v>
      </c>
      <c r="J44" s="100"/>
      <c r="K44" s="101"/>
      <c r="L44" s="101"/>
      <c r="M44" s="102"/>
    </row>
    <row r="45" spans="1:13" ht="36.75" customHeight="1">
      <c r="A45" s="2" t="s">
        <v>67</v>
      </c>
      <c r="B45" s="2" t="s">
        <v>116</v>
      </c>
      <c r="C45" s="2" t="s">
        <v>180</v>
      </c>
      <c r="D45" s="30" t="s">
        <v>120</v>
      </c>
      <c r="E45" s="2" t="s">
        <v>118</v>
      </c>
      <c r="F45" s="18">
        <v>9.25</v>
      </c>
      <c r="G45" s="23">
        <f>13.61*G5</f>
        <v>17.693</v>
      </c>
      <c r="H45" s="23">
        <f t="shared" si="3"/>
        <v>163.66025000000002</v>
      </c>
      <c r="I45" s="34"/>
      <c r="J45" s="90" t="s">
        <v>117</v>
      </c>
      <c r="K45" s="91"/>
      <c r="L45" s="91"/>
      <c r="M45" s="92"/>
    </row>
    <row r="46" spans="1:13" ht="36.75" customHeight="1">
      <c r="A46" s="13"/>
      <c r="B46" s="10"/>
      <c r="C46" s="11" t="s">
        <v>181</v>
      </c>
      <c r="D46" s="12" t="s">
        <v>92</v>
      </c>
      <c r="E46" s="13"/>
      <c r="F46" s="13"/>
      <c r="G46" s="35"/>
      <c r="H46" s="22">
        <f>H47:H47</f>
        <v>72.748</v>
      </c>
      <c r="I46" s="16">
        <f>H46/H54</f>
        <v>0.0008568637739282054</v>
      </c>
      <c r="J46" s="109"/>
      <c r="K46" s="109"/>
      <c r="L46" s="109"/>
      <c r="M46" s="109"/>
    </row>
    <row r="47" spans="1:13" ht="36.75" customHeight="1">
      <c r="A47" s="2" t="s">
        <v>67</v>
      </c>
      <c r="B47" s="2" t="s">
        <v>99</v>
      </c>
      <c r="C47" s="2" t="s">
        <v>182</v>
      </c>
      <c r="D47" s="30" t="s">
        <v>98</v>
      </c>
      <c r="E47" s="2" t="s">
        <v>91</v>
      </c>
      <c r="F47" s="18">
        <v>1</v>
      </c>
      <c r="G47" s="23">
        <f>55.96*G5</f>
        <v>72.748</v>
      </c>
      <c r="H47" s="23">
        <f t="shared" si="3"/>
        <v>72.748</v>
      </c>
      <c r="I47" s="33"/>
      <c r="J47" s="110"/>
      <c r="K47" s="111"/>
      <c r="L47" s="111"/>
      <c r="M47" s="112"/>
    </row>
    <row r="48" spans="1:13" ht="46.5" customHeight="1">
      <c r="A48" s="13"/>
      <c r="B48" s="13"/>
      <c r="C48" s="11" t="s">
        <v>113</v>
      </c>
      <c r="D48" s="32" t="s">
        <v>124</v>
      </c>
      <c r="E48" s="13"/>
      <c r="F48" s="36"/>
      <c r="G48" s="21"/>
      <c r="H48" s="22">
        <f>H49</f>
        <v>13992.009199999999</v>
      </c>
      <c r="I48" s="16">
        <f>H48/H54</f>
        <v>0.16480516038860407</v>
      </c>
      <c r="J48" s="116"/>
      <c r="K48" s="117"/>
      <c r="L48" s="117"/>
      <c r="M48" s="118"/>
    </row>
    <row r="49" spans="1:13" ht="46.5" customHeight="1">
      <c r="A49" s="2" t="s">
        <v>67</v>
      </c>
      <c r="B49" s="2" t="s">
        <v>125</v>
      </c>
      <c r="C49" s="2" t="s">
        <v>183</v>
      </c>
      <c r="D49" s="30" t="s">
        <v>127</v>
      </c>
      <c r="E49" s="2" t="s">
        <v>3</v>
      </c>
      <c r="F49" s="18">
        <v>6.1</v>
      </c>
      <c r="G49" s="23">
        <f>1764.44*G5</f>
        <v>2293.772</v>
      </c>
      <c r="H49" s="23">
        <f>F49*G49</f>
        <v>13992.009199999999</v>
      </c>
      <c r="I49" s="34"/>
      <c r="J49" s="90" t="s">
        <v>126</v>
      </c>
      <c r="K49" s="91"/>
      <c r="L49" s="91"/>
      <c r="M49" s="92"/>
    </row>
    <row r="50" spans="1:13" ht="46.5" customHeight="1">
      <c r="A50" s="13"/>
      <c r="B50" s="13"/>
      <c r="C50" s="11" t="s">
        <v>184</v>
      </c>
      <c r="D50" s="32" t="s">
        <v>128</v>
      </c>
      <c r="E50" s="13"/>
      <c r="F50" s="36"/>
      <c r="G50" s="21"/>
      <c r="H50" s="22">
        <f>H51</f>
        <v>7796.573200000001</v>
      </c>
      <c r="I50" s="16">
        <f>H50/H54</f>
        <v>0.09183209347142884</v>
      </c>
      <c r="J50" s="116"/>
      <c r="K50" s="117"/>
      <c r="L50" s="117"/>
      <c r="M50" s="118"/>
    </row>
    <row r="51" spans="1:13" ht="46.5" customHeight="1">
      <c r="A51" s="2" t="s">
        <v>67</v>
      </c>
      <c r="B51" s="2" t="s">
        <v>134</v>
      </c>
      <c r="C51" s="2" t="s">
        <v>185</v>
      </c>
      <c r="D51" s="30" t="s">
        <v>130</v>
      </c>
      <c r="E51" s="2" t="s">
        <v>3</v>
      </c>
      <c r="F51" s="18">
        <v>7.9</v>
      </c>
      <c r="G51" s="23">
        <f>759.16*G5</f>
        <v>986.908</v>
      </c>
      <c r="H51" s="23">
        <f aca="true" t="shared" si="4" ref="H51">F51*G51</f>
        <v>7796.573200000001</v>
      </c>
      <c r="I51" s="34"/>
      <c r="J51" s="90" t="s">
        <v>129</v>
      </c>
      <c r="K51" s="91"/>
      <c r="L51" s="91"/>
      <c r="M51" s="92"/>
    </row>
    <row r="52" spans="1:13" ht="46.5" customHeight="1">
      <c r="A52" s="13"/>
      <c r="B52" s="13"/>
      <c r="C52" s="11" t="s">
        <v>186</v>
      </c>
      <c r="D52" s="32" t="s">
        <v>132</v>
      </c>
      <c r="E52" s="13"/>
      <c r="F52" s="36"/>
      <c r="G52" s="21"/>
      <c r="H52" s="22">
        <f>H53</f>
        <v>12981.194200000002</v>
      </c>
      <c r="I52" s="16">
        <f>H52/H54</f>
        <v>0.15289925568135113</v>
      </c>
      <c r="J52" s="116"/>
      <c r="K52" s="117"/>
      <c r="L52" s="117"/>
      <c r="M52" s="118"/>
    </row>
    <row r="53" spans="1:13" ht="46.5" customHeight="1">
      <c r="A53" s="25" t="s">
        <v>67</v>
      </c>
      <c r="B53" s="25" t="s">
        <v>131</v>
      </c>
      <c r="C53" s="25" t="s">
        <v>187</v>
      </c>
      <c r="D53" s="37" t="s">
        <v>133</v>
      </c>
      <c r="E53" s="25" t="s">
        <v>3</v>
      </c>
      <c r="F53" s="38">
        <v>16.12</v>
      </c>
      <c r="G53" s="27">
        <f>619.45*G5</f>
        <v>805.2850000000001</v>
      </c>
      <c r="H53" s="27">
        <f>F53*G53</f>
        <v>12981.194200000002</v>
      </c>
      <c r="I53" s="39"/>
      <c r="J53" s="94" t="s">
        <v>194</v>
      </c>
      <c r="K53" s="95"/>
      <c r="L53" s="95"/>
      <c r="M53" s="96"/>
    </row>
    <row r="54" spans="1:13" ht="15">
      <c r="A54" s="10"/>
      <c r="B54" s="10"/>
      <c r="C54" s="11" t="s">
        <v>188</v>
      </c>
      <c r="D54" s="12" t="s">
        <v>30</v>
      </c>
      <c r="E54" s="10"/>
      <c r="F54" s="10"/>
      <c r="G54" s="10"/>
      <c r="H54" s="22">
        <f>H6+H10+H13+H17+H22+H31+H37+H39+H41+H46+H48+H50+H52</f>
        <v>84900.30996</v>
      </c>
      <c r="I54" s="40">
        <f>H54/H54</f>
        <v>1</v>
      </c>
      <c r="J54" s="113"/>
      <c r="K54" s="114"/>
      <c r="L54" s="114"/>
      <c r="M54" s="115"/>
    </row>
    <row r="55" spans="1:13" ht="15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8"/>
    </row>
    <row r="56" spans="1:13" ht="1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  <row r="57" spans="1:13" ht="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4"/>
    </row>
    <row r="58" spans="1:13" ht="1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4"/>
    </row>
    <row r="59" spans="1:13" ht="1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</row>
    <row r="60" spans="1:13" ht="1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4"/>
    </row>
    <row r="61" spans="1:13" ht="15.75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1"/>
    </row>
    <row r="62" spans="1:13" ht="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3"/>
    </row>
    <row r="63" spans="1:13" ht="1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</row>
    <row r="64" spans="1:13" ht="1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</row>
  </sheetData>
  <mergeCells count="62">
    <mergeCell ref="J11:M11"/>
    <mergeCell ref="J14:M14"/>
    <mergeCell ref="J12:M12"/>
    <mergeCell ref="J33:M33"/>
    <mergeCell ref="J34:M34"/>
    <mergeCell ref="J15:M15"/>
    <mergeCell ref="J17:M17"/>
    <mergeCell ref="J16:M16"/>
    <mergeCell ref="J22:M22"/>
    <mergeCell ref="J18:M18"/>
    <mergeCell ref="J20:M20"/>
    <mergeCell ref="J19:M19"/>
    <mergeCell ref="J21:M21"/>
    <mergeCell ref="J13:M13"/>
    <mergeCell ref="A1:M1"/>
    <mergeCell ref="A2:M2"/>
    <mergeCell ref="A3:M3"/>
    <mergeCell ref="C5:D5"/>
    <mergeCell ref="J4:M4"/>
    <mergeCell ref="J5:M5"/>
    <mergeCell ref="J52:M52"/>
    <mergeCell ref="J48:M48"/>
    <mergeCell ref="J45:M45"/>
    <mergeCell ref="J44:M44"/>
    <mergeCell ref="A61:M61"/>
    <mergeCell ref="A56:M56"/>
    <mergeCell ref="A57:M57"/>
    <mergeCell ref="A58:M58"/>
    <mergeCell ref="A59:M59"/>
    <mergeCell ref="A60:M60"/>
    <mergeCell ref="J31:M31"/>
    <mergeCell ref="J7:M7"/>
    <mergeCell ref="J8:M8"/>
    <mergeCell ref="J9:M9"/>
    <mergeCell ref="A55:M55"/>
    <mergeCell ref="J46:M46"/>
    <mergeCell ref="J47:M47"/>
    <mergeCell ref="J54:M54"/>
    <mergeCell ref="J35:M35"/>
    <mergeCell ref="J36:M36"/>
    <mergeCell ref="J37:M37"/>
    <mergeCell ref="J41:M41"/>
    <mergeCell ref="J38:M38"/>
    <mergeCell ref="J51:M51"/>
    <mergeCell ref="J53:M53"/>
    <mergeCell ref="J50:M50"/>
    <mergeCell ref="J6:M6"/>
    <mergeCell ref="J49:M49"/>
    <mergeCell ref="J32:M32"/>
    <mergeCell ref="J23:M23"/>
    <mergeCell ref="J24:M24"/>
    <mergeCell ref="J25:M25"/>
    <mergeCell ref="J26:M26"/>
    <mergeCell ref="J27:M27"/>
    <mergeCell ref="J28:M28"/>
    <mergeCell ref="J29:M29"/>
    <mergeCell ref="J42:M42"/>
    <mergeCell ref="J30:M30"/>
    <mergeCell ref="J10:M10"/>
    <mergeCell ref="J40:M40"/>
    <mergeCell ref="J39:M39"/>
    <mergeCell ref="J43:M43"/>
  </mergeCells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SheetLayoutView="100" workbookViewId="0" topLeftCell="A8">
      <selection activeCell="A1" sqref="A1:J18"/>
    </sheetView>
  </sheetViews>
  <sheetFormatPr defaultColWidth="9.140625" defaultRowHeight="15"/>
  <cols>
    <col min="1" max="1" width="5.28125" style="1" bestFit="1" customWidth="1"/>
    <col min="2" max="2" width="59.00390625" style="1" bestFit="1" customWidth="1"/>
    <col min="3" max="10" width="11.57421875" style="1" bestFit="1" customWidth="1"/>
    <col min="11" max="16384" width="9.140625" style="1" customWidth="1"/>
  </cols>
  <sheetData>
    <row r="1" spans="1:10" ht="24.95" customHeight="1">
      <c r="A1" s="145" t="s">
        <v>195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3" ht="24.95" customHeight="1">
      <c r="A2" s="132" t="s">
        <v>115</v>
      </c>
      <c r="B2" s="132"/>
      <c r="C2" s="132"/>
    </row>
    <row r="3" spans="1:10" ht="47.25" customHeight="1">
      <c r="A3" s="2" t="s">
        <v>31</v>
      </c>
      <c r="B3" s="50" t="s">
        <v>32</v>
      </c>
      <c r="C3" s="139" t="s">
        <v>81</v>
      </c>
      <c r="D3" s="140"/>
      <c r="E3" s="140"/>
      <c r="F3" s="141"/>
      <c r="G3" s="142" t="s">
        <v>82</v>
      </c>
      <c r="H3" s="143"/>
      <c r="I3" s="143"/>
      <c r="J3" s="144"/>
    </row>
    <row r="4" spans="1:10" ht="15">
      <c r="A4" s="138"/>
      <c r="B4" s="138"/>
      <c r="C4" s="51" t="s">
        <v>83</v>
      </c>
      <c r="D4" s="2" t="s">
        <v>84</v>
      </c>
      <c r="E4" s="2" t="s">
        <v>85</v>
      </c>
      <c r="F4" s="52" t="s">
        <v>86</v>
      </c>
      <c r="G4" s="51" t="s">
        <v>87</v>
      </c>
      <c r="H4" s="2" t="s">
        <v>88</v>
      </c>
      <c r="I4" s="2" t="s">
        <v>89</v>
      </c>
      <c r="J4" s="52" t="s">
        <v>90</v>
      </c>
    </row>
    <row r="5" spans="1:10" ht="24.95" customHeight="1">
      <c r="A5" s="53" t="s">
        <v>10</v>
      </c>
      <c r="B5" s="54" t="s">
        <v>155</v>
      </c>
      <c r="C5" s="55"/>
      <c r="D5" s="56"/>
      <c r="E5" s="56"/>
      <c r="F5" s="57"/>
      <c r="G5" s="55"/>
      <c r="H5" s="39"/>
      <c r="I5" s="39"/>
      <c r="J5" s="57"/>
    </row>
    <row r="6" spans="1:10" ht="24.95" customHeight="1">
      <c r="A6" s="53" t="s">
        <v>27</v>
      </c>
      <c r="B6" s="54" t="s">
        <v>1</v>
      </c>
      <c r="C6" s="58"/>
      <c r="D6" s="56"/>
      <c r="E6" s="56"/>
      <c r="F6" s="59"/>
      <c r="G6" s="58"/>
      <c r="H6" s="34"/>
      <c r="I6" s="34"/>
      <c r="J6" s="59"/>
    </row>
    <row r="7" spans="1:10" ht="24.95" customHeight="1">
      <c r="A7" s="53" t="s">
        <v>26</v>
      </c>
      <c r="B7" s="54" t="s">
        <v>4</v>
      </c>
      <c r="C7" s="58"/>
      <c r="D7" s="34"/>
      <c r="E7" s="34"/>
      <c r="F7" s="60"/>
      <c r="G7" s="61"/>
      <c r="H7" s="34"/>
      <c r="I7" s="34"/>
      <c r="J7" s="59"/>
    </row>
    <row r="8" spans="1:10" ht="24.95" customHeight="1">
      <c r="A8" s="53" t="s">
        <v>25</v>
      </c>
      <c r="B8" s="54" t="s">
        <v>104</v>
      </c>
      <c r="C8" s="58"/>
      <c r="D8" s="34"/>
      <c r="E8" s="34"/>
      <c r="F8" s="59"/>
      <c r="G8" s="61"/>
      <c r="H8" s="56"/>
      <c r="I8" s="34"/>
      <c r="J8" s="59"/>
    </row>
    <row r="9" spans="1:10" ht="24.95" customHeight="1">
      <c r="A9" s="53" t="s">
        <v>24</v>
      </c>
      <c r="B9" s="54" t="s">
        <v>107</v>
      </c>
      <c r="C9" s="58"/>
      <c r="D9" s="34"/>
      <c r="E9" s="56"/>
      <c r="F9" s="59"/>
      <c r="G9" s="58"/>
      <c r="H9" s="34"/>
      <c r="I9" s="34"/>
      <c r="J9" s="59"/>
    </row>
    <row r="10" spans="1:10" ht="24.95" customHeight="1">
      <c r="A10" s="53" t="s">
        <v>23</v>
      </c>
      <c r="B10" s="54" t="s">
        <v>7</v>
      </c>
      <c r="C10" s="58"/>
      <c r="D10" s="34"/>
      <c r="E10" s="34"/>
      <c r="F10" s="59"/>
      <c r="G10" s="58"/>
      <c r="H10" s="34"/>
      <c r="I10" s="56"/>
      <c r="J10" s="60"/>
    </row>
    <row r="11" spans="1:10" ht="24.95" customHeight="1">
      <c r="A11" s="53" t="s">
        <v>29</v>
      </c>
      <c r="B11" s="62" t="s">
        <v>93</v>
      </c>
      <c r="C11" s="61"/>
      <c r="D11" s="34"/>
      <c r="E11" s="34"/>
      <c r="F11" s="59"/>
      <c r="G11" s="58"/>
      <c r="H11" s="34"/>
      <c r="I11" s="34"/>
      <c r="J11" s="59"/>
    </row>
    <row r="12" spans="1:10" ht="24.95" customHeight="1">
      <c r="A12" s="53" t="s">
        <v>177</v>
      </c>
      <c r="B12" s="62" t="s">
        <v>69</v>
      </c>
      <c r="C12" s="61"/>
      <c r="D12" s="34"/>
      <c r="E12" s="34"/>
      <c r="F12" s="59"/>
      <c r="G12" s="58"/>
      <c r="H12" s="34"/>
      <c r="I12" s="34"/>
      <c r="J12" s="59"/>
    </row>
    <row r="13" spans="1:10" ht="24.95" customHeight="1">
      <c r="A13" s="53" t="s">
        <v>79</v>
      </c>
      <c r="B13" s="62" t="s">
        <v>96</v>
      </c>
      <c r="C13" s="61"/>
      <c r="D13" s="34"/>
      <c r="E13" s="34"/>
      <c r="F13" s="59"/>
      <c r="G13" s="58"/>
      <c r="H13" s="34"/>
      <c r="I13" s="34"/>
      <c r="J13" s="59"/>
    </row>
    <row r="14" spans="1:10" ht="24.95" customHeight="1">
      <c r="A14" s="53" t="s">
        <v>112</v>
      </c>
      <c r="B14" s="62" t="s">
        <v>119</v>
      </c>
      <c r="C14" s="61"/>
      <c r="D14" s="34"/>
      <c r="E14" s="34"/>
      <c r="F14" s="59"/>
      <c r="G14" s="58"/>
      <c r="H14" s="34"/>
      <c r="I14" s="34"/>
      <c r="J14" s="59"/>
    </row>
    <row r="15" spans="1:10" ht="24.95" customHeight="1">
      <c r="A15" s="53" t="s">
        <v>181</v>
      </c>
      <c r="B15" s="54" t="s">
        <v>92</v>
      </c>
      <c r="C15" s="61"/>
      <c r="D15" s="34"/>
      <c r="E15" s="34"/>
      <c r="F15" s="59"/>
      <c r="G15" s="58"/>
      <c r="H15" s="34"/>
      <c r="I15" s="34"/>
      <c r="J15" s="59"/>
    </row>
    <row r="16" spans="1:10" ht="24.95" customHeight="1">
      <c r="A16" s="53" t="s">
        <v>113</v>
      </c>
      <c r="B16" s="62" t="s">
        <v>124</v>
      </c>
      <c r="C16" s="58"/>
      <c r="D16" s="34"/>
      <c r="E16" s="34"/>
      <c r="F16" s="59"/>
      <c r="G16" s="58"/>
      <c r="H16" s="34"/>
      <c r="I16" s="34"/>
      <c r="J16" s="60"/>
    </row>
    <row r="17" spans="1:10" ht="24.95" customHeight="1">
      <c r="A17" s="53" t="s">
        <v>184</v>
      </c>
      <c r="B17" s="62" t="s">
        <v>128</v>
      </c>
      <c r="C17" s="58"/>
      <c r="D17" s="34"/>
      <c r="E17" s="34"/>
      <c r="F17" s="59"/>
      <c r="G17" s="58"/>
      <c r="H17" s="34"/>
      <c r="I17" s="56"/>
      <c r="J17" s="59"/>
    </row>
    <row r="18" spans="1:10" ht="24.95" customHeight="1">
      <c r="A18" s="53" t="s">
        <v>186</v>
      </c>
      <c r="B18" s="62" t="s">
        <v>132</v>
      </c>
      <c r="C18" s="58"/>
      <c r="D18" s="34"/>
      <c r="E18" s="34"/>
      <c r="F18" s="59"/>
      <c r="G18" s="58"/>
      <c r="H18" s="34"/>
      <c r="I18" s="34"/>
      <c r="J18" s="60"/>
    </row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</sheetData>
  <mergeCells count="5">
    <mergeCell ref="A4:B4"/>
    <mergeCell ref="C3:F3"/>
    <mergeCell ref="G3:J3"/>
    <mergeCell ref="A1:J1"/>
    <mergeCell ref="A2:C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 topLeftCell="A1">
      <selection activeCell="A1" sqref="A1:I20"/>
    </sheetView>
  </sheetViews>
  <sheetFormatPr defaultColWidth="9.140625" defaultRowHeight="15"/>
  <sheetData>
    <row r="1" spans="1:9" ht="16.5">
      <c r="A1" s="63"/>
      <c r="B1" s="147" t="s">
        <v>38</v>
      </c>
      <c r="C1" s="147"/>
      <c r="D1" s="147"/>
      <c r="E1" s="147"/>
      <c r="F1" s="147"/>
      <c r="G1" s="147"/>
      <c r="H1" s="64"/>
      <c r="I1" s="65"/>
    </row>
    <row r="2" spans="1:9" ht="15">
      <c r="A2" s="66"/>
      <c r="B2" s="67"/>
      <c r="C2" s="67"/>
      <c r="D2" s="67"/>
      <c r="E2" s="67"/>
      <c r="F2" s="67"/>
      <c r="G2" s="67"/>
      <c r="H2" s="67"/>
      <c r="I2" s="68"/>
    </row>
    <row r="3" spans="1:9" ht="15">
      <c r="A3" s="66"/>
      <c r="B3" s="67"/>
      <c r="C3" s="67"/>
      <c r="D3" s="67"/>
      <c r="E3" s="67"/>
      <c r="F3" s="67"/>
      <c r="G3" s="67"/>
      <c r="H3" s="67"/>
      <c r="I3" s="68"/>
    </row>
    <row r="4" spans="1:9" ht="15">
      <c r="A4" s="66"/>
      <c r="B4" s="148" t="s">
        <v>39</v>
      </c>
      <c r="C4" s="148"/>
      <c r="D4" s="148"/>
      <c r="E4" s="148"/>
      <c r="F4" s="69" t="s">
        <v>40</v>
      </c>
      <c r="G4" s="69" t="s">
        <v>41</v>
      </c>
      <c r="H4" s="67"/>
      <c r="I4" s="68"/>
    </row>
    <row r="5" spans="1:9" ht="15">
      <c r="A5" s="66"/>
      <c r="B5" s="149" t="s">
        <v>42</v>
      </c>
      <c r="C5" s="149"/>
      <c r="D5" s="149"/>
      <c r="E5" s="149"/>
      <c r="F5" s="70" t="s">
        <v>43</v>
      </c>
      <c r="G5" s="71">
        <v>0.0467</v>
      </c>
      <c r="H5" s="67"/>
      <c r="I5" s="68"/>
    </row>
    <row r="6" spans="1:9" ht="25.5" customHeight="1">
      <c r="A6" s="66"/>
      <c r="B6" s="146" t="s">
        <v>44</v>
      </c>
      <c r="C6" s="146"/>
      <c r="D6" s="146"/>
      <c r="E6" s="146"/>
      <c r="F6" s="72" t="s">
        <v>45</v>
      </c>
      <c r="G6" s="73">
        <v>0.0074</v>
      </c>
      <c r="H6" s="67"/>
      <c r="I6" s="68"/>
    </row>
    <row r="7" spans="1:9" ht="15">
      <c r="A7" s="66"/>
      <c r="B7" s="146" t="s">
        <v>46</v>
      </c>
      <c r="C7" s="146"/>
      <c r="D7" s="146"/>
      <c r="E7" s="146"/>
      <c r="F7" s="72" t="s">
        <v>47</v>
      </c>
      <c r="G7" s="73">
        <v>0.0097</v>
      </c>
      <c r="H7" s="67"/>
      <c r="I7" s="68"/>
    </row>
    <row r="8" spans="1:9" ht="15">
      <c r="A8" s="66"/>
      <c r="B8" s="146" t="s">
        <v>48</v>
      </c>
      <c r="C8" s="146"/>
      <c r="D8" s="146"/>
      <c r="E8" s="146"/>
      <c r="F8" s="72" t="s">
        <v>49</v>
      </c>
      <c r="G8" s="73">
        <v>0.012</v>
      </c>
      <c r="H8" s="67"/>
      <c r="I8" s="68"/>
    </row>
    <row r="9" spans="1:9" ht="15">
      <c r="A9" s="66"/>
      <c r="B9" s="146" t="s">
        <v>50</v>
      </c>
      <c r="C9" s="146"/>
      <c r="D9" s="146"/>
      <c r="E9" s="146"/>
      <c r="F9" s="72" t="s">
        <v>51</v>
      </c>
      <c r="G9" s="74">
        <v>0.085</v>
      </c>
      <c r="H9" s="67"/>
      <c r="I9" s="68"/>
    </row>
    <row r="10" spans="1:9" ht="38.25" customHeight="1">
      <c r="A10" s="66"/>
      <c r="B10" s="150" t="s">
        <v>52</v>
      </c>
      <c r="C10" s="155" t="s">
        <v>53</v>
      </c>
      <c r="D10" s="156"/>
      <c r="E10" s="157"/>
      <c r="F10" s="151" t="s">
        <v>54</v>
      </c>
      <c r="G10" s="74">
        <v>0.0065</v>
      </c>
      <c r="H10" s="67"/>
      <c r="I10" s="68"/>
    </row>
    <row r="11" spans="1:9" ht="38.25" customHeight="1">
      <c r="A11" s="66"/>
      <c r="B11" s="150"/>
      <c r="C11" s="155" t="s">
        <v>55</v>
      </c>
      <c r="D11" s="156"/>
      <c r="E11" s="157"/>
      <c r="F11" s="151"/>
      <c r="G11" s="74">
        <v>0.03</v>
      </c>
      <c r="H11" s="67"/>
      <c r="I11" s="68"/>
    </row>
    <row r="12" spans="1:9" ht="63.75" customHeight="1">
      <c r="A12" s="66"/>
      <c r="B12" s="150"/>
      <c r="C12" s="155" t="s">
        <v>56</v>
      </c>
      <c r="D12" s="156"/>
      <c r="E12" s="157"/>
      <c r="F12" s="151"/>
      <c r="G12" s="75">
        <v>0.02</v>
      </c>
      <c r="H12" s="67"/>
      <c r="I12" s="68"/>
    </row>
    <row r="13" spans="1:9" ht="25.5" customHeight="1">
      <c r="A13" s="66"/>
      <c r="B13" s="150"/>
      <c r="C13" s="158" t="s">
        <v>57</v>
      </c>
      <c r="D13" s="159"/>
      <c r="E13" s="160"/>
      <c r="F13" s="151"/>
      <c r="G13" s="75">
        <f>IF('[1]Dados'!$G$23="desonerado",4.5%,IF('[1]Dados'!$G$23="não desonerado",0%,"Ver aba DADOS"))</f>
        <v>0.045</v>
      </c>
      <c r="H13" s="67"/>
      <c r="I13" s="68"/>
    </row>
    <row r="14" spans="1:9" ht="38.25" customHeight="1">
      <c r="A14" s="66"/>
      <c r="B14" s="161" t="s">
        <v>58</v>
      </c>
      <c r="C14" s="162"/>
      <c r="D14" s="162"/>
      <c r="E14" s="162"/>
      <c r="F14" s="163"/>
      <c r="G14" s="76">
        <v>0.3</v>
      </c>
      <c r="H14" s="67"/>
      <c r="I14" s="68"/>
    </row>
    <row r="15" spans="1:9" ht="15">
      <c r="A15" s="66"/>
      <c r="B15" s="77"/>
      <c r="C15" s="77"/>
      <c r="D15" s="77"/>
      <c r="E15" s="77"/>
      <c r="F15" s="77"/>
      <c r="G15" s="77"/>
      <c r="H15" s="67"/>
      <c r="I15" s="68"/>
    </row>
    <row r="16" spans="1:9" ht="15">
      <c r="A16" s="66"/>
      <c r="B16" s="77" t="s">
        <v>59</v>
      </c>
      <c r="C16" s="77"/>
      <c r="D16" s="77"/>
      <c r="E16" s="77"/>
      <c r="F16" s="77"/>
      <c r="G16" s="77"/>
      <c r="H16" s="67"/>
      <c r="I16" s="68"/>
    </row>
    <row r="17" spans="1:9" ht="15">
      <c r="A17" s="66"/>
      <c r="B17" s="77"/>
      <c r="C17" s="77"/>
      <c r="D17" s="77"/>
      <c r="E17" s="77"/>
      <c r="F17" s="77"/>
      <c r="G17" s="77"/>
      <c r="H17" s="67"/>
      <c r="I17" s="68"/>
    </row>
    <row r="18" spans="1:9" ht="15">
      <c r="A18" s="66"/>
      <c r="B18" s="67"/>
      <c r="C18" s="67"/>
      <c r="D18" s="67"/>
      <c r="E18" s="67"/>
      <c r="F18" s="67"/>
      <c r="G18" s="67"/>
      <c r="H18" s="67"/>
      <c r="I18" s="68"/>
    </row>
    <row r="19" spans="1:9" ht="15">
      <c r="A19" s="66"/>
      <c r="B19" s="67"/>
      <c r="C19" s="67"/>
      <c r="D19" s="67"/>
      <c r="E19" s="67"/>
      <c r="F19" s="67"/>
      <c r="G19" s="67"/>
      <c r="H19" s="67"/>
      <c r="I19" s="68"/>
    </row>
    <row r="20" spans="1:9" ht="15">
      <c r="A20" s="66"/>
      <c r="B20" s="152"/>
      <c r="C20" s="152"/>
      <c r="D20" s="152"/>
      <c r="E20" s="152"/>
      <c r="F20" s="152"/>
      <c r="G20" s="152"/>
      <c r="H20" s="67"/>
      <c r="I20" s="68"/>
    </row>
    <row r="21" spans="1:9" ht="15" customHeight="1">
      <c r="A21" s="66"/>
      <c r="B21" s="152" t="s">
        <v>61</v>
      </c>
      <c r="C21" s="152"/>
      <c r="D21" s="152"/>
      <c r="E21" s="152"/>
      <c r="F21" s="152"/>
      <c r="G21" s="152"/>
      <c r="H21" s="152"/>
      <c r="I21" s="164"/>
    </row>
    <row r="22" spans="1:9" ht="15">
      <c r="A22" s="66"/>
      <c r="B22" s="78"/>
      <c r="C22" s="79"/>
      <c r="D22" s="80"/>
      <c r="E22" s="81"/>
      <c r="F22" s="78"/>
      <c r="G22" s="79"/>
      <c r="H22" s="67"/>
      <c r="I22" s="68"/>
    </row>
    <row r="23" spans="1:9" ht="15">
      <c r="A23" s="66"/>
      <c r="B23" s="82"/>
      <c r="C23" s="82"/>
      <c r="D23" s="82"/>
      <c r="E23" s="82"/>
      <c r="F23" s="82"/>
      <c r="G23" s="82"/>
      <c r="H23" s="82"/>
      <c r="I23" s="83"/>
    </row>
    <row r="24" spans="1:9" ht="15">
      <c r="A24" s="66"/>
      <c r="B24" s="153" t="s">
        <v>60</v>
      </c>
      <c r="C24" s="153"/>
      <c r="D24" s="153"/>
      <c r="E24" s="153"/>
      <c r="F24" s="153"/>
      <c r="G24" s="153"/>
      <c r="H24" s="153"/>
      <c r="I24" s="154"/>
    </row>
    <row r="25" spans="1:9" ht="15">
      <c r="A25" s="66"/>
      <c r="B25" s="153" t="s">
        <v>63</v>
      </c>
      <c r="C25" s="153"/>
      <c r="D25" s="153"/>
      <c r="E25" s="153"/>
      <c r="F25" s="153"/>
      <c r="G25" s="153"/>
      <c r="H25" s="153"/>
      <c r="I25" s="154"/>
    </row>
    <row r="26" spans="1:9" ht="15">
      <c r="A26" s="66"/>
      <c r="B26" s="153" t="s">
        <v>62</v>
      </c>
      <c r="C26" s="153"/>
      <c r="D26" s="153"/>
      <c r="E26" s="153"/>
      <c r="F26" s="153"/>
      <c r="G26" s="153"/>
      <c r="H26" s="153"/>
      <c r="I26" s="154"/>
    </row>
    <row r="27" spans="1:9" ht="15">
      <c r="A27" s="84"/>
      <c r="B27" s="85"/>
      <c r="C27" s="85"/>
      <c r="D27" s="85"/>
      <c r="E27" s="85"/>
      <c r="F27" s="85"/>
      <c r="G27" s="85"/>
      <c r="H27" s="85"/>
      <c r="I27" s="86"/>
    </row>
  </sheetData>
  <mergeCells count="19">
    <mergeCell ref="B25:I25"/>
    <mergeCell ref="B26:I26"/>
    <mergeCell ref="C10:E10"/>
    <mergeCell ref="C11:E11"/>
    <mergeCell ref="C12:E12"/>
    <mergeCell ref="C13:E13"/>
    <mergeCell ref="B14:F14"/>
    <mergeCell ref="B21:I21"/>
    <mergeCell ref="B9:E9"/>
    <mergeCell ref="B10:B13"/>
    <mergeCell ref="F10:F13"/>
    <mergeCell ref="B20:G20"/>
    <mergeCell ref="B24:I24"/>
    <mergeCell ref="B8:E8"/>
    <mergeCell ref="B1:G1"/>
    <mergeCell ref="B4:E4"/>
    <mergeCell ref="B5:E5"/>
    <mergeCell ref="B6:E6"/>
    <mergeCell ref="B7:E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Reis</dc:creator>
  <cp:keywords/>
  <dc:description/>
  <cp:lastModifiedBy>aclsilva</cp:lastModifiedBy>
  <cp:lastPrinted>2020-09-23T15:22:29Z</cp:lastPrinted>
  <dcterms:created xsi:type="dcterms:W3CDTF">2020-08-04T14:11:47Z</dcterms:created>
  <dcterms:modified xsi:type="dcterms:W3CDTF">2020-09-28T16:32:24Z</dcterms:modified>
  <cp:category/>
  <cp:version/>
  <cp:contentType/>
  <cp:contentStatus/>
</cp:coreProperties>
</file>