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bookViews>
    <workbookView xWindow="0" yWindow="0" windowWidth="19200" windowHeight="12660" activeTab="0"/>
  </bookViews>
  <sheets>
    <sheet name="Orçamento" sheetId="1" r:id="rId1"/>
    <sheet name="Cronograma" sheetId="7" r:id="rId2"/>
    <sheet name="BDI" sheetId="3" r:id="rId3"/>
  </sheets>
  <externalReferences>
    <externalReference r:id="rId6"/>
  </externalReferences>
  <definedNames>
    <definedName name="_xlnm.Print_Area" localSheetId="1">'Cronograma'!$A$1:$J$12</definedName>
    <definedName name="_xlnm.Print_Area" localSheetId="0">'Orçamento'!$A$1:$M$65</definedName>
    <definedName name="_xlnm.Print_Titles" localSheetId="0">'Orçamento'!$4:$4</definedName>
  </definedNames>
  <calcPr calcId="162913"/>
</workbook>
</file>

<file path=xl/sharedStrings.xml><?xml version="1.0" encoding="utf-8"?>
<sst xmlns="http://schemas.openxmlformats.org/spreadsheetml/2006/main" count="283" uniqueCount="196">
  <si>
    <t>Especificação - descrição das caracteristicas de materiais e serviços.</t>
  </si>
  <si>
    <t>PAREDES E PAINEIS</t>
  </si>
  <si>
    <t>GESSO</t>
  </si>
  <si>
    <t>M²</t>
  </si>
  <si>
    <t>ESQUADRIAS</t>
  </si>
  <si>
    <t>PORTAS</t>
  </si>
  <si>
    <t>CONJ.</t>
  </si>
  <si>
    <t>PORTA PARA BALCÃO DE ATENDIMENTO</t>
  </si>
  <si>
    <t>VIDROS E PLASTICOS</t>
  </si>
  <si>
    <t>TEMPERADO</t>
  </si>
  <si>
    <t>FORROS</t>
  </si>
  <si>
    <t>PINTURA</t>
  </si>
  <si>
    <t>EMASSEAMENTO</t>
  </si>
  <si>
    <t>PINTURA SOBRE  MADEIRA</t>
  </si>
  <si>
    <t>INSTALAÇÕES ELETRICAS E TELEFONICAS</t>
  </si>
  <si>
    <t>QUADROS DE DISTRIBUIÇÃO</t>
  </si>
  <si>
    <t>LUMINARIAS</t>
  </si>
  <si>
    <t>UN.</t>
  </si>
  <si>
    <t>1.0</t>
  </si>
  <si>
    <t>2.1</t>
  </si>
  <si>
    <t>2.2</t>
  </si>
  <si>
    <t>3.1</t>
  </si>
  <si>
    <t>4.1</t>
  </si>
  <si>
    <t>5.1</t>
  </si>
  <si>
    <t>5.2</t>
  </si>
  <si>
    <t>5.3</t>
  </si>
  <si>
    <t>5.4</t>
  </si>
  <si>
    <t>6.1</t>
  </si>
  <si>
    <t>6.2</t>
  </si>
  <si>
    <t>6.3</t>
  </si>
  <si>
    <t>6.4</t>
  </si>
  <si>
    <t>6.0</t>
  </si>
  <si>
    <t>5.0</t>
  </si>
  <si>
    <t>4.0</t>
  </si>
  <si>
    <t>3.0</t>
  </si>
  <si>
    <t>2.0</t>
  </si>
  <si>
    <t>1.1</t>
  </si>
  <si>
    <t>7.0</t>
  </si>
  <si>
    <t>ACABAMENTOS</t>
  </si>
  <si>
    <t>BANCADA PARA ATENDIMENTO</t>
  </si>
  <si>
    <t>TOTAL</t>
  </si>
  <si>
    <t>ITEM</t>
  </si>
  <si>
    <t>SERVIÇO</t>
  </si>
  <si>
    <t>QTD.</t>
  </si>
  <si>
    <t>CUSTO UNITÁRIO          R$</t>
  </si>
  <si>
    <t>CUSTO TOTAL       R$</t>
  </si>
  <si>
    <t>PESO</t>
  </si>
  <si>
    <t>PAREDE 95 mm ACABADO (1st/70/1st) COM PLACAS DE GESSO ACARTONADO (DRYWALL), PARA USO INTERNO, COM DUAS FACES SIMPLES E ESTRUTURA METÁLICA COM GUIAS SIMPLES, COM VÃOS.</t>
  </si>
  <si>
    <t>KIT DE PORTA DE MADEIRA PARA PINTURA, SEMI-OCA (LEVE OU MÉDIA), PADRÃO MÉDIO, 90X210CM, ESPESSURA DE 3,5CM, ITENS INCLUSOS: DOBRADIÇAS, MONTAGEM E INSTALAÇÃO DO BATENTE, FECHADURA COM EXECUÇÃO DO FURO - FORNECIMENTO E INSTALAÇÃO.</t>
  </si>
  <si>
    <t>KIT DE PORTA DE MADEIRA PARA PINTURA, SEMI-OCA (LEVE OU MÉDIA), PADRÃO MÉDIO, 90X108CM, ESPESSURA DE 3,5CM, ITENS INCLUSOS: DOBRADIÇAS, MONTAGEM E INSTALAÇÃO DO BATENTE, FECHADURA COM EXECUÇÃO DO FURO - FORNECIMENTO E INSTALAÇÃO.</t>
  </si>
  <si>
    <t>FORRO EM DRYWALL TABICADO, INCLUSIVE ESTRUTURA DE FIXAÇÃO.</t>
  </si>
  <si>
    <t>APLICAÇÃO E LIXAMENTO DE MASSA EM PAREDES  E TETOS INTERNOS DE GESSO, UMA DEMÃO.</t>
  </si>
  <si>
    <t>CONSIDERAÇÕES:</t>
  </si>
  <si>
    <t>BANCADA DE GRANITO CINZA POLIDO (ANDORINHA OU CORUMBÁ), DE 0,30 X 3,90M, BALCÃO DE ATENDIMENTO.</t>
  </si>
  <si>
    <t>MUDAR A POSIÇÃO.</t>
  </si>
  <si>
    <t>1. PINTURA INTERNA NAS PAREDES DE ALVENARIA DAS SALAS DE PSICOLOGIA, ASSISTENTE SOCIAL E COORDENAÇÃO;</t>
  </si>
  <si>
    <t xml:space="preserve">2. INSTALAÇÃO A PARTIR DO QUADRO DE ENTRADA ATÉ O QUADRO DE DISJUNTORES NOVO PARA AS INSTALAÇÕES DE TOMADAS E ILUMINAÇÃO DAS SALAS NOVAS. </t>
  </si>
  <si>
    <t>3. INSTALAÇÃO DE FORRO DE GESSO TABICADO PARA FACILITAR AS INSTALAÇÕES ELETRICAS NOVAS DAS SALAS DE PSICOLOGIA, ASS. SOCIAL E COORDENAÇÃO.</t>
  </si>
  <si>
    <t>4. REMANEJAMENTO DAS LUMINARIAS EXISTENTES NO CORREDOR GERADO DEVIDO A DIVISÃO DAS SALAS DE ATENDIMENTO (PSIC., AS.SOCIAL, COORD), APENAS</t>
  </si>
  <si>
    <t>Avenida Urbano Bezana, s/nº , NR ‘Porto Seguro'</t>
  </si>
  <si>
    <t>5. ATENTAR PARA AS OBSERVAÇÕES CONSTANTES NO PROJETO.</t>
  </si>
  <si>
    <t>COMPOSIÇÃO DE B.D.I.</t>
  </si>
  <si>
    <t>ITENS</t>
  </si>
  <si>
    <t>SIGLAS</t>
  </si>
  <si>
    <t>VALORES</t>
  </si>
  <si>
    <t>TAXA DE RATEIO DA ADMINISTRAÇÃO CENTRAL</t>
  </si>
  <si>
    <t>AC</t>
  </si>
  <si>
    <t>TAXA DE SEGURO E GARANTIA DO EMPREENDIMENTO</t>
  </si>
  <si>
    <t>S+G</t>
  </si>
  <si>
    <t>TAXA DE RISCO</t>
  </si>
  <si>
    <t>R</t>
  </si>
  <si>
    <t>TAXA DE DESPESAS FINANCEIRAS</t>
  </si>
  <si>
    <t>DF</t>
  </si>
  <si>
    <t>TAXA DE LUCRO</t>
  </si>
  <si>
    <t>L</t>
  </si>
  <si>
    <t>TAXA DE TRIBUTOS</t>
  </si>
  <si>
    <t>PIS (geralmente 0,65%)</t>
  </si>
  <si>
    <t>I</t>
  </si>
  <si>
    <t>COFINS (geralmente 3,00%)</t>
  </si>
  <si>
    <t>ISS (legislação municipal)</t>
  </si>
  <si>
    <t>CPRB (INSS)</t>
  </si>
  <si>
    <t>BDI RESULTANTE</t>
  </si>
  <si>
    <t>FÓRMULA UTILIZADA:</t>
  </si>
  <si>
    <t>_________________________________________________________</t>
  </si>
  <si>
    <t>Secretaria de Ação Social, Trabalho e Renda, 10 de agosto de 2020.</t>
  </si>
  <si>
    <t>SECRETÁRIA DE AÇÃO SOCIAL, TRABALHO E RENDA</t>
  </si>
  <si>
    <t>Natalina Aparecida Delforno dos Santos Alves</t>
  </si>
  <si>
    <t>FONTE</t>
  </si>
  <si>
    <t>CÓDIGO</t>
  </si>
  <si>
    <t>SINAPI</t>
  </si>
  <si>
    <t>90844 (Considerado metade do valor- meia porta)</t>
  </si>
  <si>
    <t>VIDRO TEMPERADO INCOLOR, ESPESSURA 8MM, FORNECIMENTO E INSTALACAO, INCLUSIVE SUSTENTAÇÃO METALICA EM ALUMINIO. INSTALADO NO BALCÃO DE ATENDIMENTO E CONFORME DETALHE EM PROJETO.</t>
  </si>
  <si>
    <t>86889 (Conforme composição de preço)</t>
  </si>
  <si>
    <t>Composição de preço bancada para atendimento:</t>
  </si>
  <si>
    <t>Item 86889 custo de R$ 639,14 por unidade com dimensão de 1,50 x 0,60m, ou seja 0,90 m². Portanto , 1,00 m² de bancada tem o custo de R$ 710,15 + 30% de BDI</t>
  </si>
  <si>
    <t>41.31.087</t>
  </si>
  <si>
    <t>CPOS</t>
  </si>
  <si>
    <t>69.03.360</t>
  </si>
  <si>
    <t>Conector RJ-45 fêmea - categoria 6A</t>
  </si>
  <si>
    <t>40.04.090</t>
  </si>
  <si>
    <t>40.04.096</t>
  </si>
  <si>
    <t>40.04.460</t>
  </si>
  <si>
    <t>40.05.020</t>
  </si>
  <si>
    <t>Caixa em PVC de 4´ x 2´</t>
  </si>
  <si>
    <t>40.07.010</t>
  </si>
  <si>
    <t>DISJUNTOR TERMOMAGNETICO MONOPOLAR PADRAO NEMA (AMERICANO) 10 A 30A 240V, FORNECIMENTO E INSTALACAO</t>
  </si>
  <si>
    <t>DISJUNTOR TERMOMAGNETICO BIPOLAR PADRAO NEMA (AMERICANO) 10 A 50A 240V, FORNECIMENTO E INSTALACAO.</t>
  </si>
  <si>
    <t>74130/001</t>
  </si>
  <si>
    <t>74130/003</t>
  </si>
  <si>
    <t>QUADRO DE DISTRIBUICAO DE ENERGIA DE SOBREPOR, PARA 12 DISJUNTORES TERMOMAGNETICOS MONOPOLARES/BIPOLARES, COM BARRAMENTO TRIFASICO E NEUTRO - FORNECIMENTO E INSTALACAO.</t>
  </si>
  <si>
    <t>CABO TELEFÔNICO CCI-50 1 PAR, SEM BLINDAGEM, INSTALADO EM DISTRIBUIÇÃO DE EDIFICAÇÃO RESIDENCIAL - FORNECIMENTO E INSTALAÇÃO.</t>
  </si>
  <si>
    <t>M</t>
  </si>
  <si>
    <t>ELETRODUTO FLEXÍVEL CORRUGADO, PVC, DN 25 MM (3/4"), PARA CIRCUITOS TERMINAIS, INSTALADO EM FORRO - FORNECIMENTO E INSTALAÇÃO.</t>
  </si>
  <si>
    <t>ELETRODUTO FLEXÍVEL CORRUGADO, PVC, DN 25 MM (3/4"), PARA CIRCUITOS TERMINAIS, INSTALADO EM PAREDE - FORNECIMENTO E INSTALAÇÃO.</t>
  </si>
  <si>
    <t>CABO DE COBRE FLEXÍVEL ISOLADO, 2,5 MM², ANTI-CHAMA 450/750 V, PARA CIRCUITOS TERMINAIS - FORNECIMENTO E INSTALAÇÃO.</t>
  </si>
  <si>
    <t>6.1.1</t>
  </si>
  <si>
    <t>6.2.1</t>
  </si>
  <si>
    <t>6.3.1</t>
  </si>
  <si>
    <t>6.3.2</t>
  </si>
  <si>
    <t>6.4.1</t>
  </si>
  <si>
    <t>6.4.2</t>
  </si>
  <si>
    <t>6.4.3</t>
  </si>
  <si>
    <t>CABOS</t>
  </si>
  <si>
    <t>ELETRODUTO RÍGIDO ROSCÁVEL, PVC, DN 25 MM (3/4"), PARA CIRCUITOS TERMINAIS, INSTALADO EM PAREDE - FORNECIMENTO E INSTALAÇÃO.</t>
  </si>
  <si>
    <t>FIXAÇÃO DE TUBOS HORIZONTAIS DE PVC, CPVC OU COBRE DIÂMETROS MENORES OU IGUAIS A 40 MM OU ELETROCALHAS ATÉ 150MM DE LARGURA, COM ABRAÇADEIRA METÁLICA RÍGIDA TIPO D 1/2</t>
  </si>
  <si>
    <t>LUVA PARA ELETRODUTO, PVC, ROSCÁVEL, DN 25 MM (3/4"), PARA CIRCUITOS TERMINAIS, INSTALADA EM PAREDE - FORNECIMENTO E INSTALAÇÃO.</t>
  </si>
  <si>
    <t>CURVA 90 GRAUS PARA ELETRODUTO, PVC, ROSCÁVEL, DN 25 MM (3/4"), PARA CIRCUITOS TERMINAIS, INSTALADA EM PAREDE - FORNECIMENTO E INSTALAÇÃO.</t>
  </si>
  <si>
    <t>CAIXA RETANGULAR 4" X 2" BAIXA (0,30 M DO PISO), METÁLICA, INSTALADA EM PAREDE - FORNECIMENTO E INSTALAÇÃO.</t>
  </si>
  <si>
    <t xml:space="preserve">TUBULAÇÃO E CAIXAS </t>
  </si>
  <si>
    <t>6.2.2</t>
  </si>
  <si>
    <t>6.1.2</t>
  </si>
  <si>
    <t>6.1.3</t>
  </si>
  <si>
    <t>6.1.4</t>
  </si>
  <si>
    <t>6.1.5</t>
  </si>
  <si>
    <t>6.1.6</t>
  </si>
  <si>
    <t>6.1.7</t>
  </si>
  <si>
    <t>Tomada 2P+T de 20 A - 250 V, completa com suporte, placa/espelho e modulo.</t>
  </si>
  <si>
    <t>Interruptor com 1 tecla simples completo com suporte, placa/espelho e modulo.</t>
  </si>
  <si>
    <t>Tomada RJ 45 para rede de dados, com placa/espelho, modulo e suporte.</t>
  </si>
  <si>
    <t>Tomada RJ 11 para telefone, com placa/espelho, modulo e suporte.</t>
  </si>
  <si>
    <t>Luminária LED redonda de embutir com difusor recuado translucido, 4000 K, fluxo luminoso de 1900 a 2000 lm, potência de 17 a 19 W com reator. Fornecimento e instalação.</t>
  </si>
  <si>
    <t>TOMADAS, INTERRUPTORES, CONECTORES, DISJUNTORES E LUMINARIAS</t>
  </si>
  <si>
    <t>ORÇAMENTO - CENTRO DE REFERENCIA DE ASSISTENCIA SOCIAL - CRAS PORTO SEGURO</t>
  </si>
  <si>
    <t xml:space="preserve">8.0 </t>
  </si>
  <si>
    <t>6.3.3</t>
  </si>
  <si>
    <t>6.4.4</t>
  </si>
  <si>
    <t>6.4.5</t>
  </si>
  <si>
    <t>6.4.6</t>
  </si>
  <si>
    <t>6.4.7</t>
  </si>
  <si>
    <t>04.08.020</t>
  </si>
  <si>
    <t>04.08.060</t>
  </si>
  <si>
    <t>041.08.080</t>
  </si>
  <si>
    <t>Retirada de folha de esquadria em madeira</t>
  </si>
  <si>
    <t>RETIRADA DE ESQUADRIA E ELEMENTOS DE MADEIRA</t>
  </si>
  <si>
    <t>PINTURA INTERNA PAREDE</t>
  </si>
  <si>
    <t>PINTURA INTERNA TETO</t>
  </si>
  <si>
    <t>APLICAÇÃO MANUAL DE PINTURA COM TINTA LÁTEX ACRÍLICA EM TETO (LAJE E GESSO), DUAS DEMÃOS.</t>
  </si>
  <si>
    <t>PINTURA EXTERNA</t>
  </si>
  <si>
    <t>APLICAÇÃO MANUAL DE PINTURA COM TINTA LÁTEX ACRÍLICA EM PAREDES DE ALVENARIA EXISTENTES, DUAS DEMÃOS;</t>
  </si>
  <si>
    <t>APLICAÇÃO MANUAL DE PINTURA COM TINTA LÁTEX ACRÍLICA EM PAREDES DE ALVENARIA EXISTENTES E PAREDES NOVAS DE GESSO, DUAS DEMÃOS;</t>
  </si>
  <si>
    <t>Remoção de pintura em superfícies de madeira e/ou metálicas com produtos químicos</t>
  </si>
  <si>
    <t>Remoção de pintura em superfícies de madeira e/ou metálicas com lixamento</t>
  </si>
  <si>
    <t>03.10.080</t>
  </si>
  <si>
    <t>0.010.100</t>
  </si>
  <si>
    <t>PINTURA SOBRE SUPERFICIE METALICA</t>
  </si>
  <si>
    <t>5.5</t>
  </si>
  <si>
    <t>5.6</t>
  </si>
  <si>
    <t>5.7</t>
  </si>
  <si>
    <t>5.9</t>
  </si>
  <si>
    <t>8.1</t>
  </si>
  <si>
    <t>7.1</t>
  </si>
  <si>
    <t>8.2</t>
  </si>
  <si>
    <t>8.3</t>
  </si>
  <si>
    <t>9.0</t>
  </si>
  <si>
    <t>Retirada de batente com guarnição e peças lineares em madeira, chumbados.</t>
  </si>
  <si>
    <t>Retirada de guarnição, moldura e peças lineares em madeira, fixadas.</t>
  </si>
  <si>
    <t>Utilizado para os pontos de rede de dados nas salas de atendimento, coordenação e recepção.</t>
  </si>
  <si>
    <t>REMOÇÃO NAS ESQUADRIAS DE MADEIRA EXISTENTES</t>
  </si>
  <si>
    <t>REMOÇÃO NAS ESQUADRIAS METÁLICAS EXISTENTES</t>
  </si>
  <si>
    <t>PINTURA COM TINTA ALQUÍDICA DE ACABAMENTO (ESMALTE SINTÉTICO ACETINADO ) APLICADA A ROLO OU PINCEL SOBRE SUPERFÍCIES METÁLICAS (EXCETO PERFIL ) EXECUTADO EM OBRA (POR DEMÃO). TODAS AS ESQUADRIAS METÁLICAS.</t>
  </si>
  <si>
    <t>UTILIZADO PARA AS INSTALAÇÕES ELETRICAS, REDE E TELEFONIA DAS SALAS DE ATENDIMENTO E COORDENAÇÃO.</t>
  </si>
  <si>
    <t>UTILIZADO PARA AS INSTALAÇÕES ELETRICAS, REDE E TELEFONIA NA RECEPÇÃO.</t>
  </si>
  <si>
    <t>UTILIZADO PARA A FIXAÇÃO DOS ELETROCUTOS ROSCÁVEIS NAS INSTALAÇÕES ELETRICAS, REDE E TELEFONIA NA RECEPÇÃO.</t>
  </si>
  <si>
    <t>PINTURA EM VERNIZ SINTETICO BRILHANTE EM MADEIRA, TRES DEMAOS. TODAS AS PORTAS DE MADEIRA.</t>
  </si>
  <si>
    <t>Tabela de custo SINAPI data base: 15/07/2020   Leis Sociais: 85,06% BDI:30% - Tabela de custo CPOS nº 179 data base 01/07/2020 Leis Sociais: 98,38% BDI:30%</t>
  </si>
  <si>
    <t>CRONOGRAMA - CENTRO DE REFERENCIA DE ASSISTENCIA SOCIAL - CRAS PORTO SEGURO</t>
  </si>
  <si>
    <t>MÊS 01</t>
  </si>
  <si>
    <t>MÊS 02</t>
  </si>
  <si>
    <t>SEMANA 01</t>
  </si>
  <si>
    <t>SEMANA 02</t>
  </si>
  <si>
    <t>SEMANA 03</t>
  </si>
  <si>
    <t>SEMANA 04</t>
  </si>
  <si>
    <t>SEMANA 05</t>
  </si>
  <si>
    <t>SEMANA 06</t>
  </si>
  <si>
    <t>SEMANA 07</t>
  </si>
  <si>
    <t>SEMANA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</si>
</sst>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</cellStyleXfs>
  <cellXfs count="1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0" fontId="3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10" fontId="3" fillId="2" borderId="2" xfId="20" applyNumberFormat="1" applyFont="1" applyFill="1" applyBorder="1" applyAlignment="1" applyProtection="1">
      <alignment horizontal="center" vertical="center" wrapText="1"/>
      <protection locked="0"/>
    </xf>
    <xf numFmtId="10" fontId="3" fillId="2" borderId="3" xfId="20" applyNumberFormat="1" applyFont="1" applyFill="1" applyBorder="1" applyAlignment="1" applyProtection="1">
      <alignment horizontal="center" vertical="center" wrapText="1"/>
      <protection locked="0"/>
    </xf>
    <xf numFmtId="10" fontId="3" fillId="2" borderId="2" xfId="20" applyNumberFormat="1" applyFont="1" applyFill="1" applyBorder="1" applyAlignment="1" applyProtection="1">
      <alignment horizontal="center" vertical="center" wrapText="1"/>
      <protection/>
    </xf>
    <xf numFmtId="10" fontId="4" fillId="3" borderId="4" xfId="2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3" fillId="0" borderId="0" xfId="0" applyFont="1" applyBorder="1"/>
    <xf numFmtId="0" fontId="7" fillId="0" borderId="0" xfId="21" applyFont="1" applyBorder="1" applyAlignment="1">
      <alignment horizontal="left" vertical="center" wrapText="1"/>
      <protection/>
    </xf>
    <xf numFmtId="0" fontId="7" fillId="0" borderId="0" xfId="21" applyFont="1" applyBorder="1" applyAlignment="1">
      <alignment vertical="center"/>
      <protection/>
    </xf>
    <xf numFmtId="4" fontId="7" fillId="0" borderId="0" xfId="21" applyNumberFormat="1" applyFont="1" applyBorder="1" applyAlignment="1">
      <alignment horizontal="center" vertical="center"/>
      <protection/>
    </xf>
    <xf numFmtId="4" fontId="7" fillId="0" borderId="0" xfId="21" applyNumberFormat="1" applyFont="1" applyBorder="1" applyAlignment="1">
      <alignment vertical="center"/>
      <protection/>
    </xf>
    <xf numFmtId="0" fontId="5" fillId="0" borderId="9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9" fillId="0" borderId="0" xfId="0" applyFont="1"/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4" borderId="13" xfId="0" applyFont="1" applyFill="1" applyBorder="1"/>
    <xf numFmtId="0" fontId="8" fillId="4" borderId="1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center" vertical="center"/>
    </xf>
    <xf numFmtId="4" fontId="10" fillId="4" borderId="13" xfId="0" applyNumberFormat="1" applyFont="1" applyFill="1" applyBorder="1" applyAlignment="1">
      <alignment horizontal="center" vertical="center"/>
    </xf>
    <xf numFmtId="4" fontId="8" fillId="4" borderId="13" xfId="0" applyNumberFormat="1" applyFont="1" applyFill="1" applyBorder="1" applyAlignment="1">
      <alignment horizontal="center" vertical="center"/>
    </xf>
    <xf numFmtId="10" fontId="10" fillId="4" borderId="13" xfId="20" applyNumberFormat="1" applyFont="1" applyFill="1" applyBorder="1" applyAlignment="1">
      <alignment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4" fontId="10" fillId="0" borderId="13" xfId="0" applyNumberFormat="1" applyFont="1" applyBorder="1" applyAlignment="1">
      <alignment horizontal="center" vertical="center"/>
    </xf>
    <xf numFmtId="10" fontId="10" fillId="0" borderId="13" xfId="20" applyNumberFormat="1" applyFont="1" applyBorder="1" applyAlignment="1">
      <alignment vertical="center"/>
    </xf>
    <xf numFmtId="0" fontId="10" fillId="4" borderId="18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10" fillId="4" borderId="17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Fill="1" applyBorder="1"/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10" fontId="10" fillId="0" borderId="13" xfId="20" applyNumberFormat="1" applyFont="1" applyFill="1" applyBorder="1" applyAlignment="1">
      <alignment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0" fontId="10" fillId="4" borderId="18" xfId="0" applyFont="1" applyFill="1" applyBorder="1"/>
    <xf numFmtId="0" fontId="10" fillId="4" borderId="16" xfId="0" applyFont="1" applyFill="1" applyBorder="1"/>
    <xf numFmtId="0" fontId="10" fillId="4" borderId="17" xfId="0" applyFont="1" applyFill="1" applyBorder="1"/>
    <xf numFmtId="0" fontId="10" fillId="4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10" fontId="10" fillId="0" borderId="13" xfId="20" applyNumberFormat="1" applyFont="1" applyBorder="1"/>
    <xf numFmtId="10" fontId="10" fillId="4" borderId="13" xfId="20" applyNumberFormat="1" applyFont="1" applyFill="1" applyBorder="1"/>
    <xf numFmtId="0" fontId="10" fillId="0" borderId="13" xfId="0" applyFont="1" applyBorder="1"/>
    <xf numFmtId="0" fontId="10" fillId="0" borderId="0" xfId="0" applyFont="1"/>
    <xf numFmtId="0" fontId="9" fillId="0" borderId="19" xfId="0" applyFont="1" applyBorder="1"/>
    <xf numFmtId="0" fontId="9" fillId="0" borderId="0" xfId="0" applyFont="1" applyBorder="1"/>
    <xf numFmtId="0" fontId="9" fillId="0" borderId="20" xfId="0" applyFont="1" applyBorder="1"/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1" fillId="0" borderId="0" xfId="0" applyFont="1"/>
    <xf numFmtId="0" fontId="11" fillId="0" borderId="24" xfId="0" applyFont="1" applyFill="1" applyBorder="1"/>
    <xf numFmtId="0" fontId="11" fillId="4" borderId="13" xfId="0" applyFont="1" applyFill="1" applyBorder="1"/>
    <xf numFmtId="0" fontId="11" fillId="0" borderId="25" xfId="0" applyFont="1" applyFill="1" applyBorder="1"/>
    <xf numFmtId="0" fontId="11" fillId="0" borderId="13" xfId="0" applyFont="1" applyFill="1" applyBorder="1"/>
    <xf numFmtId="0" fontId="11" fillId="0" borderId="24" xfId="0" applyFont="1" applyBorder="1"/>
    <xf numFmtId="0" fontId="11" fillId="0" borderId="13" xfId="0" applyFont="1" applyBorder="1"/>
    <xf numFmtId="0" fontId="11" fillId="4" borderId="25" xfId="0" applyFont="1" applyFill="1" applyBorder="1"/>
    <xf numFmtId="0" fontId="11" fillId="4" borderId="24" xfId="0" applyFont="1" applyFill="1" applyBorder="1"/>
    <xf numFmtId="0" fontId="11" fillId="0" borderId="25" xfId="0" applyFont="1" applyBorder="1"/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16</xdr:row>
      <xdr:rowOff>0</xdr:rowOff>
    </xdr:from>
    <xdr:to>
      <xdr:col>6</xdr:col>
      <xdr:colOff>609600</xdr:colOff>
      <xdr:row>19</xdr:row>
      <xdr:rowOff>38100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6850" y="4838700"/>
          <a:ext cx="2800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Projetos\B%20D%20I\BDI%20SINAPI%20CAIX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0" refreshError="1"/>
      <sheetData sheetId="1" refreshError="1">
        <row r="23">
          <cell r="G23" t="str">
            <v>DESONERADO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zoomScale="90" zoomScaleNormal="90" zoomScaleSheetLayoutView="70" workbookViewId="0" topLeftCell="A44">
      <selection activeCell="H54" sqref="H54"/>
    </sheetView>
  </sheetViews>
  <sheetFormatPr defaultColWidth="9.140625" defaultRowHeight="15"/>
  <cols>
    <col min="1" max="1" width="9.140625" style="25" customWidth="1"/>
    <col min="2" max="2" width="14.421875" style="25" customWidth="1"/>
    <col min="3" max="3" width="9.140625" style="25" customWidth="1"/>
    <col min="4" max="4" width="51.140625" style="25" customWidth="1"/>
    <col min="5" max="5" width="9.140625" style="25" customWidth="1"/>
    <col min="6" max="6" width="9.28125" style="25" bestFit="1" customWidth="1"/>
    <col min="7" max="7" width="14.57421875" style="25" customWidth="1"/>
    <col min="8" max="8" width="14.140625" style="25" customWidth="1"/>
    <col min="9" max="9" width="10.57421875" style="25" bestFit="1" customWidth="1"/>
    <col min="10" max="12" width="9.140625" style="25" customWidth="1"/>
    <col min="13" max="13" width="43.00390625" style="25" customWidth="1"/>
    <col min="14" max="16384" width="9.140625" style="25" customWidth="1"/>
  </cols>
  <sheetData>
    <row r="1" spans="1:13" ht="15">
      <c r="A1" s="104" t="s">
        <v>142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15">
      <c r="A2" s="107" t="s">
        <v>59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5">
      <c r="A3" s="110" t="s">
        <v>184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16" ht="38.25">
      <c r="A4" s="26" t="s">
        <v>87</v>
      </c>
      <c r="B4" s="26" t="s">
        <v>88</v>
      </c>
      <c r="C4" s="26" t="s">
        <v>41</v>
      </c>
      <c r="D4" s="26" t="s">
        <v>42</v>
      </c>
      <c r="E4" s="26" t="s">
        <v>17</v>
      </c>
      <c r="F4" s="26" t="s">
        <v>43</v>
      </c>
      <c r="G4" s="27" t="s">
        <v>44</v>
      </c>
      <c r="H4" s="27" t="s">
        <v>45</v>
      </c>
      <c r="I4" s="26" t="s">
        <v>46</v>
      </c>
      <c r="J4" s="117" t="s">
        <v>0</v>
      </c>
      <c r="K4" s="117"/>
      <c r="L4" s="117"/>
      <c r="M4" s="117"/>
      <c r="N4" s="28"/>
      <c r="O4" s="28"/>
      <c r="P4" s="28"/>
    </row>
    <row r="5" spans="1:16" ht="15">
      <c r="A5" s="29"/>
      <c r="B5" s="30"/>
      <c r="C5" s="116"/>
      <c r="D5" s="116"/>
      <c r="E5" s="31"/>
      <c r="F5" s="31"/>
      <c r="G5" s="32">
        <v>1.3</v>
      </c>
      <c r="H5" s="33"/>
      <c r="I5" s="31"/>
      <c r="J5" s="31"/>
      <c r="K5" s="31"/>
      <c r="L5" s="31"/>
      <c r="M5" s="34"/>
      <c r="N5" s="28"/>
      <c r="O5" s="28"/>
      <c r="P5" s="28"/>
    </row>
    <row r="6" spans="1:13" ht="15">
      <c r="A6" s="35"/>
      <c r="B6" s="35"/>
      <c r="C6" s="36" t="s">
        <v>18</v>
      </c>
      <c r="D6" s="37" t="s">
        <v>1</v>
      </c>
      <c r="E6" s="38"/>
      <c r="F6" s="39"/>
      <c r="G6" s="38"/>
      <c r="H6" s="40">
        <f>H7</f>
        <v>7661.543760000001</v>
      </c>
      <c r="I6" s="41">
        <f>H6/H54</f>
        <v>0.12491759506911287</v>
      </c>
      <c r="J6" s="42"/>
      <c r="K6" s="43"/>
      <c r="L6" s="43"/>
      <c r="M6" s="44"/>
    </row>
    <row r="7" spans="1:13" ht="15">
      <c r="A7" s="26" t="s">
        <v>89</v>
      </c>
      <c r="B7" s="26">
        <v>96359</v>
      </c>
      <c r="C7" s="34" t="s">
        <v>36</v>
      </c>
      <c r="D7" s="45" t="s">
        <v>2</v>
      </c>
      <c r="E7" s="26" t="s">
        <v>3</v>
      </c>
      <c r="F7" s="46">
        <v>70.64</v>
      </c>
      <c r="G7" s="46">
        <f>83.43*$G$5</f>
        <v>108.45900000000002</v>
      </c>
      <c r="H7" s="46">
        <f>F7*G7</f>
        <v>7661.543760000001</v>
      </c>
      <c r="I7" s="47"/>
      <c r="J7" s="118" t="s">
        <v>47</v>
      </c>
      <c r="K7" s="118"/>
      <c r="L7" s="118"/>
      <c r="M7" s="118"/>
    </row>
    <row r="8" spans="1:13" ht="15">
      <c r="A8" s="35"/>
      <c r="B8" s="35"/>
      <c r="C8" s="36" t="s">
        <v>35</v>
      </c>
      <c r="D8" s="37" t="s">
        <v>4</v>
      </c>
      <c r="E8" s="38"/>
      <c r="F8" s="39"/>
      <c r="G8" s="38"/>
      <c r="H8" s="40">
        <f>SUM(H9:H10)</f>
        <v>4443.543000000001</v>
      </c>
      <c r="I8" s="41">
        <f>H8/H54</f>
        <v>0.07244972064823017</v>
      </c>
      <c r="J8" s="48"/>
      <c r="K8" s="49"/>
      <c r="L8" s="49"/>
      <c r="M8" s="50"/>
    </row>
    <row r="9" spans="1:13" ht="15">
      <c r="A9" s="26" t="s">
        <v>89</v>
      </c>
      <c r="B9" s="26">
        <v>90844</v>
      </c>
      <c r="C9" s="34" t="s">
        <v>19</v>
      </c>
      <c r="D9" s="45" t="s">
        <v>5</v>
      </c>
      <c r="E9" s="26" t="s">
        <v>6</v>
      </c>
      <c r="F9" s="46">
        <v>4</v>
      </c>
      <c r="G9" s="46">
        <f>759.58*G5</f>
        <v>987.4540000000001</v>
      </c>
      <c r="H9" s="46">
        <f>F9*G9</f>
        <v>3949.8160000000003</v>
      </c>
      <c r="I9" s="47"/>
      <c r="J9" s="118" t="s">
        <v>48</v>
      </c>
      <c r="K9" s="118"/>
      <c r="L9" s="118"/>
      <c r="M9" s="118"/>
    </row>
    <row r="10" spans="1:13" ht="51">
      <c r="A10" s="26" t="s">
        <v>89</v>
      </c>
      <c r="B10" s="27" t="s">
        <v>90</v>
      </c>
      <c r="C10" s="34" t="s">
        <v>20</v>
      </c>
      <c r="D10" s="51" t="s">
        <v>7</v>
      </c>
      <c r="E10" s="26" t="s">
        <v>6</v>
      </c>
      <c r="F10" s="46">
        <v>1</v>
      </c>
      <c r="G10" s="46">
        <f>(759.58/2)*G5</f>
        <v>493.72700000000003</v>
      </c>
      <c r="H10" s="46">
        <f>F10*G10</f>
        <v>493.72700000000003</v>
      </c>
      <c r="I10" s="47"/>
      <c r="J10" s="118" t="s">
        <v>49</v>
      </c>
      <c r="K10" s="118"/>
      <c r="L10" s="118"/>
      <c r="M10" s="118"/>
    </row>
    <row r="11" spans="1:13" ht="15">
      <c r="A11" s="35"/>
      <c r="B11" s="35"/>
      <c r="C11" s="36" t="s">
        <v>34</v>
      </c>
      <c r="D11" s="37" t="s">
        <v>8</v>
      </c>
      <c r="E11" s="38"/>
      <c r="F11" s="39"/>
      <c r="G11" s="38"/>
      <c r="H11" s="40">
        <f>SUM(H12)</f>
        <v>673.8029999999999</v>
      </c>
      <c r="I11" s="41">
        <f>H11/H54</f>
        <v>0.010986017041342779</v>
      </c>
      <c r="J11" s="48"/>
      <c r="K11" s="49"/>
      <c r="L11" s="49"/>
      <c r="M11" s="50"/>
    </row>
    <row r="12" spans="1:13" ht="15">
      <c r="A12" s="26" t="s">
        <v>89</v>
      </c>
      <c r="B12" s="26">
        <v>72119</v>
      </c>
      <c r="C12" s="34" t="s">
        <v>21</v>
      </c>
      <c r="D12" s="45" t="s">
        <v>9</v>
      </c>
      <c r="E12" s="26" t="s">
        <v>3</v>
      </c>
      <c r="F12" s="46">
        <v>2.34</v>
      </c>
      <c r="G12" s="46">
        <f>221.5*G5</f>
        <v>287.95</v>
      </c>
      <c r="H12" s="46">
        <f>F12*G12</f>
        <v>673.8029999999999</v>
      </c>
      <c r="I12" s="47"/>
      <c r="J12" s="118" t="s">
        <v>91</v>
      </c>
      <c r="K12" s="118"/>
      <c r="L12" s="118"/>
      <c r="M12" s="118"/>
    </row>
    <row r="13" spans="1:13" ht="15">
      <c r="A13" s="38"/>
      <c r="B13" s="38"/>
      <c r="C13" s="36" t="s">
        <v>33</v>
      </c>
      <c r="D13" s="37" t="s">
        <v>10</v>
      </c>
      <c r="E13" s="38"/>
      <c r="F13" s="39"/>
      <c r="G13" s="38"/>
      <c r="H13" s="40">
        <f>SUM(H14)</f>
        <v>2417.98414</v>
      </c>
      <c r="I13" s="41">
        <f>H13/H54</f>
        <v>0.039424008156295785</v>
      </c>
      <c r="J13" s="48"/>
      <c r="K13" s="49"/>
      <c r="L13" s="49"/>
      <c r="M13" s="50"/>
    </row>
    <row r="14" spans="1:13" ht="15">
      <c r="A14" s="26" t="s">
        <v>89</v>
      </c>
      <c r="B14" s="26">
        <v>96110</v>
      </c>
      <c r="C14" s="34" t="s">
        <v>22</v>
      </c>
      <c r="D14" s="45" t="s">
        <v>2</v>
      </c>
      <c r="E14" s="26" t="s">
        <v>3</v>
      </c>
      <c r="F14" s="46">
        <v>33.22</v>
      </c>
      <c r="G14" s="46">
        <f>55.99*G5</f>
        <v>72.787</v>
      </c>
      <c r="H14" s="46">
        <f>F14*G14</f>
        <v>2417.98414</v>
      </c>
      <c r="I14" s="47"/>
      <c r="J14" s="118" t="s">
        <v>50</v>
      </c>
      <c r="K14" s="118"/>
      <c r="L14" s="118"/>
      <c r="M14" s="118"/>
    </row>
    <row r="15" spans="1:13" ht="15">
      <c r="A15" s="35"/>
      <c r="B15" s="35"/>
      <c r="C15" s="36" t="s">
        <v>32</v>
      </c>
      <c r="D15" s="37" t="s">
        <v>11</v>
      </c>
      <c r="E15" s="38"/>
      <c r="F15" s="39"/>
      <c r="G15" s="38"/>
      <c r="H15" s="40">
        <f>SUM(H16:H23)</f>
        <v>38939.50502</v>
      </c>
      <c r="I15" s="41">
        <f>H15/H54</f>
        <v>0.6348889300450914</v>
      </c>
      <c r="J15" s="48"/>
      <c r="K15" s="49"/>
      <c r="L15" s="49"/>
      <c r="M15" s="50"/>
    </row>
    <row r="16" spans="1:13" ht="15">
      <c r="A16" s="26" t="s">
        <v>89</v>
      </c>
      <c r="B16" s="26">
        <v>88494</v>
      </c>
      <c r="C16" s="34" t="s">
        <v>23</v>
      </c>
      <c r="D16" s="45" t="s">
        <v>12</v>
      </c>
      <c r="E16" s="26" t="s">
        <v>3</v>
      </c>
      <c r="F16" s="46">
        <v>103.86</v>
      </c>
      <c r="G16" s="46">
        <f>18.29*G5</f>
        <v>23.777</v>
      </c>
      <c r="H16" s="46">
        <f>F16*G16</f>
        <v>2469.47922</v>
      </c>
      <c r="I16" s="47"/>
      <c r="J16" s="118" t="s">
        <v>51</v>
      </c>
      <c r="K16" s="118"/>
      <c r="L16" s="118"/>
      <c r="M16" s="118"/>
    </row>
    <row r="17" spans="1:13" ht="15">
      <c r="A17" s="26" t="s">
        <v>89</v>
      </c>
      <c r="B17" s="26">
        <v>88489</v>
      </c>
      <c r="C17" s="34" t="s">
        <v>24</v>
      </c>
      <c r="D17" s="45" t="s">
        <v>154</v>
      </c>
      <c r="E17" s="26" t="s">
        <v>3</v>
      </c>
      <c r="F17" s="46">
        <v>847.5</v>
      </c>
      <c r="G17" s="46">
        <f>12.94*G5</f>
        <v>16.822</v>
      </c>
      <c r="H17" s="46">
        <f aca="true" t="shared" si="0" ref="H17:H23">F17*G17</f>
        <v>14256.644999999999</v>
      </c>
      <c r="I17" s="47"/>
      <c r="J17" s="118" t="s">
        <v>159</v>
      </c>
      <c r="K17" s="118"/>
      <c r="L17" s="118"/>
      <c r="M17" s="118"/>
    </row>
    <row r="18" spans="1:13" ht="15">
      <c r="A18" s="26" t="s">
        <v>89</v>
      </c>
      <c r="B18" s="26">
        <v>88488</v>
      </c>
      <c r="C18" s="34" t="s">
        <v>25</v>
      </c>
      <c r="D18" s="45" t="s">
        <v>155</v>
      </c>
      <c r="E18" s="26" t="s">
        <v>3</v>
      </c>
      <c r="F18" s="46">
        <v>314.45</v>
      </c>
      <c r="G18" s="46">
        <f>17.72*G5</f>
        <v>23.035999999999998</v>
      </c>
      <c r="H18" s="46">
        <f t="shared" si="0"/>
        <v>7243.670199999999</v>
      </c>
      <c r="I18" s="47"/>
      <c r="J18" s="113" t="s">
        <v>156</v>
      </c>
      <c r="K18" s="114"/>
      <c r="L18" s="114"/>
      <c r="M18" s="115"/>
    </row>
    <row r="19" spans="1:13" ht="15">
      <c r="A19" s="26" t="s">
        <v>89</v>
      </c>
      <c r="B19" s="26">
        <v>88489</v>
      </c>
      <c r="C19" s="34" t="s">
        <v>26</v>
      </c>
      <c r="D19" s="45" t="s">
        <v>157</v>
      </c>
      <c r="E19" s="26" t="s">
        <v>3</v>
      </c>
      <c r="F19" s="46">
        <v>412</v>
      </c>
      <c r="G19" s="46">
        <f>G17</f>
        <v>16.822</v>
      </c>
      <c r="H19" s="46">
        <f t="shared" si="0"/>
        <v>6930.664</v>
      </c>
      <c r="I19" s="47"/>
      <c r="J19" s="113" t="s">
        <v>158</v>
      </c>
      <c r="K19" s="114"/>
      <c r="L19" s="114"/>
      <c r="M19" s="115"/>
    </row>
    <row r="20" spans="1:13" ht="25.5">
      <c r="A20" s="26" t="s">
        <v>96</v>
      </c>
      <c r="B20" s="26" t="s">
        <v>162</v>
      </c>
      <c r="C20" s="34" t="s">
        <v>165</v>
      </c>
      <c r="D20" s="51" t="s">
        <v>160</v>
      </c>
      <c r="E20" s="26" t="s">
        <v>3</v>
      </c>
      <c r="F20" s="46">
        <v>45.4</v>
      </c>
      <c r="G20" s="46">
        <f>9.63*G5</f>
        <v>12.519000000000002</v>
      </c>
      <c r="H20" s="46">
        <f t="shared" si="0"/>
        <v>568.3626</v>
      </c>
      <c r="I20" s="47"/>
      <c r="J20" s="113" t="s">
        <v>177</v>
      </c>
      <c r="K20" s="114"/>
      <c r="L20" s="114"/>
      <c r="M20" s="115"/>
    </row>
    <row r="21" spans="1:13" ht="25.5">
      <c r="A21" s="26" t="s">
        <v>96</v>
      </c>
      <c r="B21" s="26" t="s">
        <v>163</v>
      </c>
      <c r="C21" s="34" t="s">
        <v>166</v>
      </c>
      <c r="D21" s="51" t="s">
        <v>161</v>
      </c>
      <c r="E21" s="26" t="s">
        <v>3</v>
      </c>
      <c r="F21" s="46">
        <v>59.52</v>
      </c>
      <c r="G21" s="46">
        <f>5.56*G5</f>
        <v>7.228</v>
      </c>
      <c r="H21" s="46">
        <f t="shared" si="0"/>
        <v>430.21056</v>
      </c>
      <c r="I21" s="47"/>
      <c r="J21" s="113" t="s">
        <v>178</v>
      </c>
      <c r="K21" s="114"/>
      <c r="L21" s="114"/>
      <c r="M21" s="115"/>
    </row>
    <row r="22" spans="1:13" ht="15">
      <c r="A22" s="26" t="s">
        <v>89</v>
      </c>
      <c r="B22" s="26">
        <v>6082</v>
      </c>
      <c r="C22" s="34" t="s">
        <v>167</v>
      </c>
      <c r="D22" s="45" t="s">
        <v>13</v>
      </c>
      <c r="E22" s="26" t="s">
        <v>3</v>
      </c>
      <c r="F22" s="46">
        <v>158.88</v>
      </c>
      <c r="G22" s="46">
        <f>18.75*G5</f>
        <v>24.375</v>
      </c>
      <c r="H22" s="46">
        <f t="shared" si="0"/>
        <v>3872.7</v>
      </c>
      <c r="I22" s="47"/>
      <c r="J22" s="118" t="s">
        <v>183</v>
      </c>
      <c r="K22" s="118"/>
      <c r="L22" s="118"/>
      <c r="M22" s="118"/>
    </row>
    <row r="23" spans="1:13" ht="15">
      <c r="A23" s="26" t="s">
        <v>89</v>
      </c>
      <c r="B23" s="26">
        <v>100742</v>
      </c>
      <c r="C23" s="34" t="s">
        <v>168</v>
      </c>
      <c r="D23" s="45" t="s">
        <v>164</v>
      </c>
      <c r="E23" s="26" t="s">
        <v>3</v>
      </c>
      <c r="F23" s="46">
        <v>119.04</v>
      </c>
      <c r="G23" s="46">
        <f>20.47*G5</f>
        <v>26.611</v>
      </c>
      <c r="H23" s="46">
        <f t="shared" si="0"/>
        <v>3167.7734400000004</v>
      </c>
      <c r="I23" s="47"/>
      <c r="J23" s="113" t="s">
        <v>179</v>
      </c>
      <c r="K23" s="114"/>
      <c r="L23" s="114"/>
      <c r="M23" s="115"/>
    </row>
    <row r="24" spans="1:13" ht="15">
      <c r="A24" s="35"/>
      <c r="B24" s="35"/>
      <c r="C24" s="36" t="s">
        <v>31</v>
      </c>
      <c r="D24" s="37" t="s">
        <v>14</v>
      </c>
      <c r="E24" s="38"/>
      <c r="F24" s="39"/>
      <c r="G24" s="38"/>
      <c r="H24" s="40">
        <f>SUM(H25:H47)</f>
        <v>5987.872800000001</v>
      </c>
      <c r="I24" s="41">
        <f>H24/H54</f>
        <v>0.0976292367683031</v>
      </c>
      <c r="J24" s="48"/>
      <c r="K24" s="49"/>
      <c r="L24" s="49"/>
      <c r="M24" s="50"/>
    </row>
    <row r="25" spans="1:13" ht="15">
      <c r="A25" s="52"/>
      <c r="B25" s="52"/>
      <c r="C25" s="53" t="s">
        <v>27</v>
      </c>
      <c r="D25" s="54" t="s">
        <v>128</v>
      </c>
      <c r="E25" s="55"/>
      <c r="F25" s="56"/>
      <c r="G25" s="56"/>
      <c r="H25" s="56"/>
      <c r="I25" s="57"/>
      <c r="J25" s="103"/>
      <c r="K25" s="103"/>
      <c r="L25" s="103"/>
      <c r="M25" s="103"/>
    </row>
    <row r="26" spans="1:13" ht="38.25">
      <c r="A26" s="26" t="s">
        <v>89</v>
      </c>
      <c r="B26" s="26">
        <v>91834</v>
      </c>
      <c r="C26" s="34" t="s">
        <v>115</v>
      </c>
      <c r="D26" s="51" t="s">
        <v>112</v>
      </c>
      <c r="E26" s="26" t="s">
        <v>111</v>
      </c>
      <c r="F26" s="46">
        <v>24</v>
      </c>
      <c r="G26" s="46">
        <f>6.35*G5</f>
        <v>8.254999999999999</v>
      </c>
      <c r="H26" s="46">
        <f aca="true" t="shared" si="1" ref="H26:H47">F26*G26</f>
        <v>198.11999999999998</v>
      </c>
      <c r="I26" s="47"/>
      <c r="J26" s="113" t="s">
        <v>180</v>
      </c>
      <c r="K26" s="114"/>
      <c r="L26" s="114"/>
      <c r="M26" s="115"/>
    </row>
    <row r="27" spans="1:13" ht="38.25">
      <c r="A27" s="26" t="s">
        <v>89</v>
      </c>
      <c r="B27" s="26">
        <v>91871</v>
      </c>
      <c r="C27" s="34" t="s">
        <v>130</v>
      </c>
      <c r="D27" s="51" t="s">
        <v>123</v>
      </c>
      <c r="E27" s="26" t="s">
        <v>111</v>
      </c>
      <c r="F27" s="46">
        <v>11.4</v>
      </c>
      <c r="G27" s="46">
        <f>9.27*G5</f>
        <v>12.051</v>
      </c>
      <c r="H27" s="46">
        <f t="shared" si="1"/>
        <v>137.3814</v>
      </c>
      <c r="I27" s="47"/>
      <c r="J27" s="100" t="s">
        <v>181</v>
      </c>
      <c r="K27" s="101"/>
      <c r="L27" s="101"/>
      <c r="M27" s="102"/>
    </row>
    <row r="28" spans="1:13" ht="51">
      <c r="A28" s="26" t="s">
        <v>89</v>
      </c>
      <c r="B28" s="26">
        <v>91170</v>
      </c>
      <c r="C28" s="34" t="s">
        <v>131</v>
      </c>
      <c r="D28" s="51" t="s">
        <v>124</v>
      </c>
      <c r="E28" s="26" t="s">
        <v>111</v>
      </c>
      <c r="F28" s="46">
        <v>11.4</v>
      </c>
      <c r="G28" s="46">
        <f>2.19*G5</f>
        <v>2.847</v>
      </c>
      <c r="H28" s="46">
        <f t="shared" si="1"/>
        <v>32.4558</v>
      </c>
      <c r="I28" s="47"/>
      <c r="J28" s="113" t="s">
        <v>182</v>
      </c>
      <c r="K28" s="114"/>
      <c r="L28" s="114"/>
      <c r="M28" s="115"/>
    </row>
    <row r="29" spans="1:13" ht="38.25">
      <c r="A29" s="26" t="s">
        <v>89</v>
      </c>
      <c r="B29" s="26">
        <v>91884</v>
      </c>
      <c r="C29" s="34" t="s">
        <v>132</v>
      </c>
      <c r="D29" s="51" t="s">
        <v>125</v>
      </c>
      <c r="E29" s="26" t="s">
        <v>17</v>
      </c>
      <c r="F29" s="46">
        <v>4</v>
      </c>
      <c r="G29" s="46">
        <f>7.5*G5</f>
        <v>9.75</v>
      </c>
      <c r="H29" s="46">
        <f t="shared" si="1"/>
        <v>39</v>
      </c>
      <c r="I29" s="47"/>
      <c r="J29" s="100"/>
      <c r="K29" s="101"/>
      <c r="L29" s="101"/>
      <c r="M29" s="102"/>
    </row>
    <row r="30" spans="1:13" ht="51">
      <c r="A30" s="26" t="s">
        <v>89</v>
      </c>
      <c r="B30" s="26">
        <v>91914</v>
      </c>
      <c r="C30" s="34" t="s">
        <v>133</v>
      </c>
      <c r="D30" s="51" t="s">
        <v>126</v>
      </c>
      <c r="E30" s="26" t="s">
        <v>17</v>
      </c>
      <c r="F30" s="46">
        <v>4</v>
      </c>
      <c r="G30" s="46">
        <f>12.05*G5</f>
        <v>15.665000000000001</v>
      </c>
      <c r="H30" s="46">
        <f t="shared" si="1"/>
        <v>62.660000000000004</v>
      </c>
      <c r="I30" s="47"/>
      <c r="J30" s="100"/>
      <c r="K30" s="101"/>
      <c r="L30" s="101"/>
      <c r="M30" s="102"/>
    </row>
    <row r="31" spans="1:13" ht="38.25">
      <c r="A31" s="26" t="s">
        <v>89</v>
      </c>
      <c r="B31" s="26">
        <v>92869</v>
      </c>
      <c r="C31" s="34" t="s">
        <v>134</v>
      </c>
      <c r="D31" s="51" t="s">
        <v>127</v>
      </c>
      <c r="E31" s="26" t="s">
        <v>17</v>
      </c>
      <c r="F31" s="46">
        <v>8</v>
      </c>
      <c r="G31" s="46">
        <f>7.23*G5</f>
        <v>9.399000000000001</v>
      </c>
      <c r="H31" s="46">
        <f t="shared" si="1"/>
        <v>75.19200000000001</v>
      </c>
      <c r="I31" s="47"/>
      <c r="J31" s="100"/>
      <c r="K31" s="101"/>
      <c r="L31" s="101"/>
      <c r="M31" s="102"/>
    </row>
    <row r="32" spans="1:13" ht="38.25">
      <c r="A32" s="26" t="s">
        <v>89</v>
      </c>
      <c r="B32" s="26">
        <v>91854</v>
      </c>
      <c r="C32" s="34" t="s">
        <v>135</v>
      </c>
      <c r="D32" s="51" t="s">
        <v>113</v>
      </c>
      <c r="E32" s="26" t="s">
        <v>111</v>
      </c>
      <c r="F32" s="46">
        <v>13.6</v>
      </c>
      <c r="G32" s="46">
        <f>7.12*G5</f>
        <v>9.256</v>
      </c>
      <c r="H32" s="46">
        <f t="shared" si="1"/>
        <v>125.8816</v>
      </c>
      <c r="I32" s="47"/>
      <c r="J32" s="100"/>
      <c r="K32" s="101"/>
      <c r="L32" s="101"/>
      <c r="M32" s="102"/>
    </row>
    <row r="33" spans="1:13" ht="15">
      <c r="A33" s="52"/>
      <c r="B33" s="52"/>
      <c r="C33" s="53" t="s">
        <v>28</v>
      </c>
      <c r="D33" s="54" t="s">
        <v>122</v>
      </c>
      <c r="E33" s="55"/>
      <c r="F33" s="56"/>
      <c r="G33" s="56"/>
      <c r="H33" s="56"/>
      <c r="I33" s="57"/>
      <c r="J33" s="103"/>
      <c r="K33" s="103"/>
      <c r="L33" s="103"/>
      <c r="M33" s="103"/>
    </row>
    <row r="34" spans="1:13" ht="38.25">
      <c r="A34" s="26" t="s">
        <v>89</v>
      </c>
      <c r="B34" s="26">
        <v>98280</v>
      </c>
      <c r="C34" s="34" t="s">
        <v>116</v>
      </c>
      <c r="D34" s="51" t="s">
        <v>110</v>
      </c>
      <c r="E34" s="26" t="s">
        <v>111</v>
      </c>
      <c r="F34" s="46">
        <f>F32+F28+F26</f>
        <v>49</v>
      </c>
      <c r="G34" s="46">
        <f>6.21*G5</f>
        <v>8.073</v>
      </c>
      <c r="H34" s="46">
        <f t="shared" si="1"/>
        <v>395.577</v>
      </c>
      <c r="I34" s="47"/>
      <c r="J34" s="100"/>
      <c r="K34" s="101"/>
      <c r="L34" s="101"/>
      <c r="M34" s="102"/>
    </row>
    <row r="35" spans="1:13" ht="38.25">
      <c r="A35" s="26" t="s">
        <v>89</v>
      </c>
      <c r="B35" s="26">
        <v>91926</v>
      </c>
      <c r="C35" s="34" t="s">
        <v>129</v>
      </c>
      <c r="D35" s="51" t="s">
        <v>114</v>
      </c>
      <c r="E35" s="26" t="s">
        <v>111</v>
      </c>
      <c r="F35" s="46">
        <f>F34*3</f>
        <v>147</v>
      </c>
      <c r="G35" s="46">
        <f>2.56*G5</f>
        <v>3.3280000000000003</v>
      </c>
      <c r="H35" s="46">
        <f t="shared" si="1"/>
        <v>489.21600000000007</v>
      </c>
      <c r="I35" s="47"/>
      <c r="J35" s="100"/>
      <c r="K35" s="101"/>
      <c r="L35" s="101"/>
      <c r="M35" s="102"/>
    </row>
    <row r="36" spans="1:13" ht="15">
      <c r="A36" s="52"/>
      <c r="B36" s="52"/>
      <c r="C36" s="53" t="s">
        <v>29</v>
      </c>
      <c r="D36" s="54" t="s">
        <v>15</v>
      </c>
      <c r="E36" s="55"/>
      <c r="F36" s="58"/>
      <c r="G36" s="56"/>
      <c r="H36" s="56"/>
      <c r="I36" s="57"/>
      <c r="J36" s="103"/>
      <c r="K36" s="103"/>
      <c r="L36" s="103"/>
      <c r="M36" s="103"/>
    </row>
    <row r="37" spans="1:13" ht="63.75">
      <c r="A37" s="26" t="s">
        <v>89</v>
      </c>
      <c r="B37" s="26">
        <v>83463</v>
      </c>
      <c r="C37" s="34" t="s">
        <v>117</v>
      </c>
      <c r="D37" s="51" t="s">
        <v>109</v>
      </c>
      <c r="E37" s="26" t="s">
        <v>17</v>
      </c>
      <c r="F37" s="59">
        <v>1</v>
      </c>
      <c r="G37" s="46">
        <f>291.25*G5</f>
        <v>378.625</v>
      </c>
      <c r="H37" s="46">
        <f t="shared" si="1"/>
        <v>378.625</v>
      </c>
      <c r="I37" s="47"/>
      <c r="J37" s="100"/>
      <c r="K37" s="101"/>
      <c r="L37" s="101"/>
      <c r="M37" s="102"/>
    </row>
    <row r="38" spans="1:13" ht="38.25">
      <c r="A38" s="26" t="s">
        <v>89</v>
      </c>
      <c r="B38" s="26" t="s">
        <v>107</v>
      </c>
      <c r="C38" s="34" t="s">
        <v>118</v>
      </c>
      <c r="D38" s="51" t="s">
        <v>105</v>
      </c>
      <c r="E38" s="26" t="s">
        <v>17</v>
      </c>
      <c r="F38" s="59">
        <v>6</v>
      </c>
      <c r="G38" s="46">
        <f>11.43*G5</f>
        <v>14.859</v>
      </c>
      <c r="H38" s="46">
        <f t="shared" si="1"/>
        <v>89.154</v>
      </c>
      <c r="I38" s="47"/>
      <c r="J38" s="100"/>
      <c r="K38" s="101"/>
      <c r="L38" s="101"/>
      <c r="M38" s="102"/>
    </row>
    <row r="39" spans="1:13" ht="38.25">
      <c r="A39" s="26" t="s">
        <v>89</v>
      </c>
      <c r="B39" s="26" t="s">
        <v>108</v>
      </c>
      <c r="C39" s="34" t="s">
        <v>144</v>
      </c>
      <c r="D39" s="51" t="s">
        <v>106</v>
      </c>
      <c r="E39" s="26" t="s">
        <v>17</v>
      </c>
      <c r="F39" s="59">
        <v>6</v>
      </c>
      <c r="G39" s="46">
        <f>49.34*G5</f>
        <v>64.14200000000001</v>
      </c>
      <c r="H39" s="46">
        <f t="shared" si="1"/>
        <v>384.8520000000001</v>
      </c>
      <c r="I39" s="47"/>
      <c r="J39" s="100"/>
      <c r="K39" s="101"/>
      <c r="L39" s="101"/>
      <c r="M39" s="102"/>
    </row>
    <row r="40" spans="1:13" ht="25.5">
      <c r="A40" s="52"/>
      <c r="B40" s="52"/>
      <c r="C40" s="53" t="s">
        <v>30</v>
      </c>
      <c r="D40" s="60" t="s">
        <v>141</v>
      </c>
      <c r="E40" s="55"/>
      <c r="F40" s="56"/>
      <c r="G40" s="56"/>
      <c r="H40" s="61"/>
      <c r="I40" s="57"/>
      <c r="J40" s="122"/>
      <c r="K40" s="123"/>
      <c r="L40" s="123"/>
      <c r="M40" s="124"/>
    </row>
    <row r="41" spans="1:13" ht="15">
      <c r="A41" s="26" t="s">
        <v>96</v>
      </c>
      <c r="B41" s="26" t="s">
        <v>104</v>
      </c>
      <c r="C41" s="34" t="s">
        <v>119</v>
      </c>
      <c r="D41" s="45" t="s">
        <v>103</v>
      </c>
      <c r="E41" s="26" t="s">
        <v>17</v>
      </c>
      <c r="F41" s="46">
        <v>28</v>
      </c>
      <c r="G41" s="46">
        <f>10.7*G5</f>
        <v>13.91</v>
      </c>
      <c r="H41" s="46">
        <f t="shared" si="1"/>
        <v>389.48</v>
      </c>
      <c r="I41" s="47"/>
      <c r="J41" s="100"/>
      <c r="K41" s="101"/>
      <c r="L41" s="101"/>
      <c r="M41" s="102"/>
    </row>
    <row r="42" spans="1:13" ht="25.5">
      <c r="A42" s="26" t="s">
        <v>96</v>
      </c>
      <c r="B42" s="26" t="s">
        <v>99</v>
      </c>
      <c r="C42" s="34" t="s">
        <v>120</v>
      </c>
      <c r="D42" s="51" t="s">
        <v>139</v>
      </c>
      <c r="E42" s="26" t="s">
        <v>17</v>
      </c>
      <c r="F42" s="46">
        <v>6</v>
      </c>
      <c r="G42" s="46">
        <f>25.47*G5</f>
        <v>33.111</v>
      </c>
      <c r="H42" s="46">
        <f t="shared" si="1"/>
        <v>198.666</v>
      </c>
      <c r="I42" s="47"/>
      <c r="J42" s="100"/>
      <c r="K42" s="101"/>
      <c r="L42" s="101"/>
      <c r="M42" s="102"/>
    </row>
    <row r="43" spans="1:13" ht="25.5">
      <c r="A43" s="26" t="s">
        <v>96</v>
      </c>
      <c r="B43" s="26" t="s">
        <v>100</v>
      </c>
      <c r="C43" s="34" t="s">
        <v>121</v>
      </c>
      <c r="D43" s="51" t="s">
        <v>138</v>
      </c>
      <c r="E43" s="26" t="s">
        <v>17</v>
      </c>
      <c r="F43" s="46">
        <v>6</v>
      </c>
      <c r="G43" s="46">
        <f>53.37*G5</f>
        <v>69.381</v>
      </c>
      <c r="H43" s="46">
        <f t="shared" si="1"/>
        <v>416.286</v>
      </c>
      <c r="I43" s="47"/>
      <c r="J43" s="100"/>
      <c r="K43" s="101"/>
      <c r="L43" s="101"/>
      <c r="M43" s="102"/>
    </row>
    <row r="44" spans="1:13" ht="25.5">
      <c r="A44" s="26" t="s">
        <v>96</v>
      </c>
      <c r="B44" s="26" t="s">
        <v>101</v>
      </c>
      <c r="C44" s="34" t="s">
        <v>145</v>
      </c>
      <c r="D44" s="51" t="s">
        <v>136</v>
      </c>
      <c r="E44" s="26" t="s">
        <v>17</v>
      </c>
      <c r="F44" s="46">
        <v>12</v>
      </c>
      <c r="G44" s="46">
        <f>23.89*G5</f>
        <v>31.057000000000002</v>
      </c>
      <c r="H44" s="46">
        <f t="shared" si="1"/>
        <v>372.684</v>
      </c>
      <c r="I44" s="47"/>
      <c r="J44" s="100"/>
      <c r="K44" s="101"/>
      <c r="L44" s="101"/>
      <c r="M44" s="102"/>
    </row>
    <row r="45" spans="1:13" ht="25.5">
      <c r="A45" s="26" t="s">
        <v>96</v>
      </c>
      <c r="B45" s="26" t="s">
        <v>102</v>
      </c>
      <c r="C45" s="34" t="s">
        <v>146</v>
      </c>
      <c r="D45" s="51" t="s">
        <v>137</v>
      </c>
      <c r="E45" s="26" t="s">
        <v>17</v>
      </c>
      <c r="F45" s="46">
        <v>4</v>
      </c>
      <c r="G45" s="46">
        <f>18.48*G5</f>
        <v>24.024</v>
      </c>
      <c r="H45" s="46">
        <f t="shared" si="1"/>
        <v>96.096</v>
      </c>
      <c r="I45" s="47"/>
      <c r="J45" s="100"/>
      <c r="K45" s="101"/>
      <c r="L45" s="101"/>
      <c r="M45" s="102"/>
    </row>
    <row r="46" spans="1:13" ht="15">
      <c r="A46" s="26" t="s">
        <v>96</v>
      </c>
      <c r="B46" s="26" t="s">
        <v>97</v>
      </c>
      <c r="C46" s="34" t="s">
        <v>147</v>
      </c>
      <c r="D46" s="45" t="s">
        <v>98</v>
      </c>
      <c r="E46" s="26" t="s">
        <v>17</v>
      </c>
      <c r="F46" s="46">
        <v>6</v>
      </c>
      <c r="G46" s="46">
        <f>119.39*G5</f>
        <v>155.207</v>
      </c>
      <c r="H46" s="46">
        <f t="shared" si="1"/>
        <v>931.242</v>
      </c>
      <c r="I46" s="47"/>
      <c r="J46" s="113" t="s">
        <v>176</v>
      </c>
      <c r="K46" s="114"/>
      <c r="L46" s="114"/>
      <c r="M46" s="115"/>
    </row>
    <row r="47" spans="1:13" ht="15">
      <c r="A47" s="26" t="s">
        <v>96</v>
      </c>
      <c r="B47" s="26" t="s">
        <v>95</v>
      </c>
      <c r="C47" s="34" t="s">
        <v>148</v>
      </c>
      <c r="D47" s="45" t="s">
        <v>16</v>
      </c>
      <c r="E47" s="26" t="s">
        <v>17</v>
      </c>
      <c r="F47" s="46">
        <v>4</v>
      </c>
      <c r="G47" s="46">
        <f>226.02*G5</f>
        <v>293.826</v>
      </c>
      <c r="H47" s="46">
        <f t="shared" si="1"/>
        <v>1175.304</v>
      </c>
      <c r="I47" s="47"/>
      <c r="J47" s="113" t="s">
        <v>140</v>
      </c>
      <c r="K47" s="114"/>
      <c r="L47" s="114"/>
      <c r="M47" s="115"/>
    </row>
    <row r="48" spans="1:13" ht="15">
      <c r="A48" s="35"/>
      <c r="B48" s="35"/>
      <c r="C48" s="36" t="s">
        <v>37</v>
      </c>
      <c r="D48" s="37" t="s">
        <v>38</v>
      </c>
      <c r="E48" s="35"/>
      <c r="F48" s="35"/>
      <c r="G48" s="35"/>
      <c r="H48" s="40">
        <f>H49</f>
        <v>1080.13815</v>
      </c>
      <c r="I48" s="41">
        <f>H48/H54</f>
        <v>0.017611106099118683</v>
      </c>
      <c r="J48" s="62"/>
      <c r="K48" s="63"/>
      <c r="L48" s="63"/>
      <c r="M48" s="64"/>
    </row>
    <row r="49" spans="1:13" ht="51">
      <c r="A49" s="26" t="s">
        <v>89</v>
      </c>
      <c r="B49" s="27" t="s">
        <v>92</v>
      </c>
      <c r="C49" s="34" t="s">
        <v>170</v>
      </c>
      <c r="D49" s="45" t="s">
        <v>39</v>
      </c>
      <c r="E49" s="26" t="s">
        <v>3</v>
      </c>
      <c r="F49" s="46">
        <v>1.17</v>
      </c>
      <c r="G49" s="46">
        <f>710.15*G5</f>
        <v>923.195</v>
      </c>
      <c r="H49" s="46">
        <f>F49*G49</f>
        <v>1080.13815</v>
      </c>
      <c r="I49" s="47"/>
      <c r="J49" s="113" t="s">
        <v>53</v>
      </c>
      <c r="K49" s="114"/>
      <c r="L49" s="114"/>
      <c r="M49" s="115"/>
    </row>
    <row r="50" spans="1:13" ht="25.5">
      <c r="A50" s="38"/>
      <c r="B50" s="65"/>
      <c r="C50" s="36" t="s">
        <v>143</v>
      </c>
      <c r="D50" s="66" t="s">
        <v>153</v>
      </c>
      <c r="E50" s="38"/>
      <c r="F50" s="39"/>
      <c r="G50" s="39"/>
      <c r="H50" s="40">
        <f>H51+H52+H53</f>
        <v>128.3932</v>
      </c>
      <c r="I50" s="41">
        <f>H50/H54</f>
        <v>0.002093386172505216</v>
      </c>
      <c r="J50" s="67"/>
      <c r="K50" s="68"/>
      <c r="L50" s="68"/>
      <c r="M50" s="69"/>
    </row>
    <row r="51" spans="1:13" ht="15">
      <c r="A51" s="26" t="s">
        <v>96</v>
      </c>
      <c r="B51" s="27" t="s">
        <v>149</v>
      </c>
      <c r="C51" s="34" t="s">
        <v>169</v>
      </c>
      <c r="D51" s="51" t="s">
        <v>152</v>
      </c>
      <c r="E51" s="26" t="s">
        <v>17</v>
      </c>
      <c r="F51" s="46">
        <v>2</v>
      </c>
      <c r="G51" s="46">
        <f>15.51*G5</f>
        <v>20.163</v>
      </c>
      <c r="H51" s="46">
        <f>F51*G51</f>
        <v>40.326</v>
      </c>
      <c r="I51" s="70"/>
      <c r="J51" s="100"/>
      <c r="K51" s="101"/>
      <c r="L51" s="101"/>
      <c r="M51" s="102"/>
    </row>
    <row r="52" spans="1:13" ht="25.5">
      <c r="A52" s="26" t="s">
        <v>96</v>
      </c>
      <c r="B52" s="27" t="s">
        <v>150</v>
      </c>
      <c r="C52" s="34" t="s">
        <v>171</v>
      </c>
      <c r="D52" s="51" t="s">
        <v>175</v>
      </c>
      <c r="E52" s="26" t="s">
        <v>111</v>
      </c>
      <c r="F52" s="46">
        <v>11.6</v>
      </c>
      <c r="G52" s="46">
        <f>1.19*G5</f>
        <v>1.547</v>
      </c>
      <c r="H52" s="46">
        <f aca="true" t="shared" si="2" ref="H52:H53">F52*G52</f>
        <v>17.9452</v>
      </c>
      <c r="I52" s="70"/>
      <c r="J52" s="100"/>
      <c r="K52" s="101"/>
      <c r="L52" s="101"/>
      <c r="M52" s="102"/>
    </row>
    <row r="53" spans="1:13" ht="25.5">
      <c r="A53" s="26" t="s">
        <v>96</v>
      </c>
      <c r="B53" s="27" t="s">
        <v>151</v>
      </c>
      <c r="C53" s="34" t="s">
        <v>172</v>
      </c>
      <c r="D53" s="51" t="s">
        <v>174</v>
      </c>
      <c r="E53" s="26" t="s">
        <v>111</v>
      </c>
      <c r="F53" s="46">
        <v>5.8</v>
      </c>
      <c r="G53" s="46">
        <f>9.3*G5</f>
        <v>12.090000000000002</v>
      </c>
      <c r="H53" s="46">
        <f t="shared" si="2"/>
        <v>70.12200000000001</v>
      </c>
      <c r="I53" s="70"/>
      <c r="J53" s="100"/>
      <c r="K53" s="101"/>
      <c r="L53" s="101"/>
      <c r="M53" s="102"/>
    </row>
    <row r="54" spans="1:13" ht="15">
      <c r="A54" s="35"/>
      <c r="B54" s="35"/>
      <c r="C54" s="36" t="s">
        <v>173</v>
      </c>
      <c r="D54" s="37" t="s">
        <v>40</v>
      </c>
      <c r="E54" s="35"/>
      <c r="F54" s="35"/>
      <c r="G54" s="35"/>
      <c r="H54" s="40">
        <f>H6+H8+H11+H13+H15+H24+H48+H50</f>
        <v>61332.78307</v>
      </c>
      <c r="I54" s="71">
        <f>H54/H54</f>
        <v>1</v>
      </c>
      <c r="J54" s="62"/>
      <c r="K54" s="63"/>
      <c r="L54" s="63"/>
      <c r="M54" s="64"/>
    </row>
    <row r="55" spans="1:13" ht="15">
      <c r="A55" s="72"/>
      <c r="B55" s="7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ht="15">
      <c r="A56" s="125" t="s">
        <v>52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7"/>
    </row>
    <row r="57" spans="1:13" ht="15">
      <c r="A57" s="119" t="s">
        <v>55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1"/>
    </row>
    <row r="58" spans="1:13" ht="15">
      <c r="A58" s="119" t="s">
        <v>56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1"/>
    </row>
    <row r="59" spans="1:13" ht="15">
      <c r="A59" s="119" t="s">
        <v>57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1"/>
    </row>
    <row r="60" spans="1:13" ht="15">
      <c r="A60" s="119" t="s">
        <v>58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1"/>
    </row>
    <row r="61" spans="1:13" ht="15">
      <c r="A61" s="119" t="s">
        <v>54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1"/>
    </row>
    <row r="62" spans="1:13" ht="15">
      <c r="A62" s="128" t="s">
        <v>60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30"/>
    </row>
    <row r="63" spans="1:13" ht="15">
      <c r="A63" s="74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6"/>
    </row>
    <row r="64" spans="1:13" ht="15">
      <c r="A64" s="77" t="s">
        <v>93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9"/>
    </row>
    <row r="65" spans="1:13" ht="15">
      <c r="A65" s="80" t="s">
        <v>94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2"/>
    </row>
  </sheetData>
  <mergeCells count="52">
    <mergeCell ref="A62:M62"/>
    <mergeCell ref="J51:M51"/>
    <mergeCell ref="J52:M52"/>
    <mergeCell ref="J53:M53"/>
    <mergeCell ref="A57:M57"/>
    <mergeCell ref="A58:M58"/>
    <mergeCell ref="A59:M59"/>
    <mergeCell ref="A60:M60"/>
    <mergeCell ref="J22:M22"/>
    <mergeCell ref="J25:M25"/>
    <mergeCell ref="J23:M23"/>
    <mergeCell ref="J26:M26"/>
    <mergeCell ref="A61:M61"/>
    <mergeCell ref="J31:M31"/>
    <mergeCell ref="J30:M30"/>
    <mergeCell ref="J29:M29"/>
    <mergeCell ref="J28:M28"/>
    <mergeCell ref="J27:M27"/>
    <mergeCell ref="J49:M49"/>
    <mergeCell ref="J40:M40"/>
    <mergeCell ref="J36:M36"/>
    <mergeCell ref="J47:M47"/>
    <mergeCell ref="A56:M56"/>
    <mergeCell ref="J46:M46"/>
    <mergeCell ref="A1:M1"/>
    <mergeCell ref="A2:M2"/>
    <mergeCell ref="A3:M3"/>
    <mergeCell ref="J20:M20"/>
    <mergeCell ref="J21:M21"/>
    <mergeCell ref="C5:D5"/>
    <mergeCell ref="J4:M4"/>
    <mergeCell ref="J7:M7"/>
    <mergeCell ref="J9:M9"/>
    <mergeCell ref="J10:M10"/>
    <mergeCell ref="J12:M12"/>
    <mergeCell ref="J14:M14"/>
    <mergeCell ref="J16:M16"/>
    <mergeCell ref="J17:M17"/>
    <mergeCell ref="J18:M18"/>
    <mergeCell ref="J19:M19"/>
    <mergeCell ref="J44:M44"/>
    <mergeCell ref="J45:M45"/>
    <mergeCell ref="J32:M32"/>
    <mergeCell ref="J34:M34"/>
    <mergeCell ref="J35:M35"/>
    <mergeCell ref="J37:M37"/>
    <mergeCell ref="J33:M33"/>
    <mergeCell ref="J38:M38"/>
    <mergeCell ref="J39:M39"/>
    <mergeCell ref="J41:M41"/>
    <mergeCell ref="J42:M42"/>
    <mergeCell ref="J43:M43"/>
  </mergeCells>
  <printOptions/>
  <pageMargins left="0.5118110236220472" right="0.5118110236220472" top="0.7874015748031497" bottom="0.7874015748031497" header="0.31496062992125984" footer="0.31496062992125984"/>
  <pageSetup fitToHeight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SheetLayoutView="100" workbookViewId="0" topLeftCell="A7">
      <selection activeCell="A1" sqref="A1:J12"/>
    </sheetView>
  </sheetViews>
  <sheetFormatPr defaultColWidth="9.140625" defaultRowHeight="15"/>
  <cols>
    <col min="1" max="1" width="10.8515625" style="83" customWidth="1"/>
    <col min="2" max="2" width="59.8515625" style="83" bestFit="1" customWidth="1"/>
    <col min="3" max="10" width="12.28125" style="83" bestFit="1" customWidth="1"/>
    <col min="11" max="16384" width="9.140625" style="83" customWidth="1"/>
  </cols>
  <sheetData>
    <row r="1" spans="1:10" ht="24.95" customHeight="1">
      <c r="A1" s="131" t="s">
        <v>185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8" ht="24.95" customHeight="1">
      <c r="A2" s="83" t="s">
        <v>59</v>
      </c>
      <c r="C2" s="132"/>
      <c r="D2" s="132"/>
      <c r="E2" s="132"/>
      <c r="F2" s="132"/>
      <c r="G2" s="132"/>
      <c r="H2" s="132"/>
    </row>
    <row r="3" spans="1:10" ht="47.25" customHeight="1">
      <c r="A3" s="93" t="s">
        <v>41</v>
      </c>
      <c r="B3" s="94" t="s">
        <v>42</v>
      </c>
      <c r="C3" s="134" t="s">
        <v>186</v>
      </c>
      <c r="D3" s="135"/>
      <c r="E3" s="135"/>
      <c r="F3" s="136"/>
      <c r="G3" s="137" t="s">
        <v>187</v>
      </c>
      <c r="H3" s="138"/>
      <c r="I3" s="138"/>
      <c r="J3" s="139"/>
    </row>
    <row r="4" spans="1:10" ht="15">
      <c r="A4" s="133"/>
      <c r="B4" s="133"/>
      <c r="C4" s="95" t="s">
        <v>188</v>
      </c>
      <c r="D4" s="93" t="s">
        <v>189</v>
      </c>
      <c r="E4" s="93" t="s">
        <v>190</v>
      </c>
      <c r="F4" s="96" t="s">
        <v>191</v>
      </c>
      <c r="G4" s="95" t="s">
        <v>192</v>
      </c>
      <c r="H4" s="93" t="s">
        <v>193</v>
      </c>
      <c r="I4" s="93" t="s">
        <v>194</v>
      </c>
      <c r="J4" s="96" t="s">
        <v>195</v>
      </c>
    </row>
    <row r="5" spans="1:10" ht="24.95" customHeight="1">
      <c r="A5" s="97" t="s">
        <v>18</v>
      </c>
      <c r="B5" s="98" t="s">
        <v>1</v>
      </c>
      <c r="C5" s="84"/>
      <c r="D5" s="85"/>
      <c r="E5" s="85"/>
      <c r="F5" s="86"/>
      <c r="G5" s="84"/>
      <c r="H5" s="87"/>
      <c r="I5" s="87"/>
      <c r="J5" s="86"/>
    </row>
    <row r="6" spans="1:10" ht="24.95" customHeight="1">
      <c r="A6" s="97" t="s">
        <v>35</v>
      </c>
      <c r="B6" s="98" t="s">
        <v>4</v>
      </c>
      <c r="C6" s="88"/>
      <c r="D6" s="89"/>
      <c r="E6" s="89"/>
      <c r="F6" s="90"/>
      <c r="G6" s="91"/>
      <c r="H6" s="89"/>
      <c r="I6" s="89"/>
      <c r="J6" s="92"/>
    </row>
    <row r="7" spans="1:10" ht="24.95" customHeight="1">
      <c r="A7" s="97" t="s">
        <v>34</v>
      </c>
      <c r="B7" s="98" t="s">
        <v>8</v>
      </c>
      <c r="C7" s="88"/>
      <c r="D7" s="89"/>
      <c r="E7" s="89"/>
      <c r="F7" s="92"/>
      <c r="G7" s="88"/>
      <c r="H7" s="85"/>
      <c r="I7" s="89"/>
      <c r="J7" s="92"/>
    </row>
    <row r="8" spans="1:10" ht="24.95" customHeight="1">
      <c r="A8" s="97" t="s">
        <v>33</v>
      </c>
      <c r="B8" s="98" t="s">
        <v>10</v>
      </c>
      <c r="C8" s="88"/>
      <c r="D8" s="89"/>
      <c r="E8" s="85"/>
      <c r="F8" s="90"/>
      <c r="G8" s="88"/>
      <c r="H8" s="89"/>
      <c r="I8" s="89"/>
      <c r="J8" s="92"/>
    </row>
    <row r="9" spans="1:10" ht="24.95" customHeight="1">
      <c r="A9" s="97" t="s">
        <v>32</v>
      </c>
      <c r="B9" s="98" t="s">
        <v>11</v>
      </c>
      <c r="C9" s="88"/>
      <c r="D9" s="89"/>
      <c r="E9" s="89"/>
      <c r="F9" s="92"/>
      <c r="G9" s="88"/>
      <c r="H9" s="89"/>
      <c r="I9" s="85"/>
      <c r="J9" s="90"/>
    </row>
    <row r="10" spans="1:10" ht="24.95" customHeight="1">
      <c r="A10" s="97" t="s">
        <v>31</v>
      </c>
      <c r="B10" s="98" t="s">
        <v>14</v>
      </c>
      <c r="C10" s="88"/>
      <c r="D10" s="85"/>
      <c r="E10" s="85"/>
      <c r="F10" s="90"/>
      <c r="G10" s="91"/>
      <c r="H10" s="89"/>
      <c r="I10" s="89"/>
      <c r="J10" s="92"/>
    </row>
    <row r="11" spans="1:10" ht="24.95" customHeight="1">
      <c r="A11" s="97" t="s">
        <v>37</v>
      </c>
      <c r="B11" s="98" t="s">
        <v>38</v>
      </c>
      <c r="C11" s="88"/>
      <c r="D11" s="89"/>
      <c r="E11" s="89"/>
      <c r="F11" s="92"/>
      <c r="G11" s="88"/>
      <c r="H11" s="85"/>
      <c r="I11" s="89"/>
      <c r="J11" s="92"/>
    </row>
    <row r="12" spans="1:10" ht="24.95" customHeight="1">
      <c r="A12" s="97" t="s">
        <v>143</v>
      </c>
      <c r="B12" s="99" t="s">
        <v>153</v>
      </c>
      <c r="C12" s="91"/>
      <c r="D12" s="89"/>
      <c r="E12" s="89"/>
      <c r="F12" s="92"/>
      <c r="G12" s="88"/>
      <c r="H12" s="89"/>
      <c r="I12" s="89"/>
      <c r="J12" s="92"/>
    </row>
    <row r="13" ht="24.95" customHeight="1"/>
    <row r="14" ht="24.95" customHeight="1"/>
    <row r="15" ht="24.95" customHeight="1"/>
    <row r="16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</sheetData>
  <mergeCells count="5">
    <mergeCell ref="A1:J1"/>
    <mergeCell ref="C2:H2"/>
    <mergeCell ref="A4:B4"/>
    <mergeCell ref="C3:F3"/>
    <mergeCell ref="G3:J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 topLeftCell="A10">
      <selection activeCell="H13" sqref="H13"/>
    </sheetView>
  </sheetViews>
  <sheetFormatPr defaultColWidth="9.140625" defaultRowHeight="15"/>
  <sheetData>
    <row r="2" spans="1:9" ht="16.5">
      <c r="A2" s="10"/>
      <c r="B2" s="156" t="s">
        <v>61</v>
      </c>
      <c r="C2" s="156"/>
      <c r="D2" s="156"/>
      <c r="E2" s="156"/>
      <c r="F2" s="156"/>
      <c r="G2" s="156"/>
      <c r="H2" s="11"/>
      <c r="I2" s="12"/>
    </row>
    <row r="3" spans="1:9" ht="15">
      <c r="A3" s="13"/>
      <c r="B3" s="14"/>
      <c r="C3" s="14"/>
      <c r="D3" s="14"/>
      <c r="E3" s="14"/>
      <c r="F3" s="14"/>
      <c r="G3" s="14"/>
      <c r="H3" s="14"/>
      <c r="I3" s="15"/>
    </row>
    <row r="4" spans="1:9" ht="15">
      <c r="A4" s="13"/>
      <c r="B4" s="14"/>
      <c r="C4" s="14"/>
      <c r="D4" s="14"/>
      <c r="E4" s="14"/>
      <c r="F4" s="14"/>
      <c r="G4" s="14"/>
      <c r="H4" s="14"/>
      <c r="I4" s="15"/>
    </row>
    <row r="5" spans="1:9" ht="15">
      <c r="A5" s="13"/>
      <c r="B5" s="157" t="s">
        <v>62</v>
      </c>
      <c r="C5" s="157"/>
      <c r="D5" s="157"/>
      <c r="E5" s="157"/>
      <c r="F5" s="9" t="s">
        <v>63</v>
      </c>
      <c r="G5" s="9" t="s">
        <v>64</v>
      </c>
      <c r="H5" s="14"/>
      <c r="I5" s="15"/>
    </row>
    <row r="6" spans="1:9" ht="15">
      <c r="A6" s="13"/>
      <c r="B6" s="158" t="s">
        <v>65</v>
      </c>
      <c r="C6" s="158"/>
      <c r="D6" s="158"/>
      <c r="E6" s="158"/>
      <c r="F6" s="1" t="s">
        <v>66</v>
      </c>
      <c r="G6" s="2">
        <v>0.0467</v>
      </c>
      <c r="H6" s="14"/>
      <c r="I6" s="15"/>
    </row>
    <row r="7" spans="1:9" ht="25.5" customHeight="1">
      <c r="A7" s="13"/>
      <c r="B7" s="153" t="s">
        <v>67</v>
      </c>
      <c r="C7" s="153"/>
      <c r="D7" s="153"/>
      <c r="E7" s="153"/>
      <c r="F7" s="3" t="s">
        <v>68</v>
      </c>
      <c r="G7" s="4">
        <v>0.0074</v>
      </c>
      <c r="H7" s="14"/>
      <c r="I7" s="15"/>
    </row>
    <row r="8" spans="1:9" ht="15">
      <c r="A8" s="13"/>
      <c r="B8" s="153" t="s">
        <v>69</v>
      </c>
      <c r="C8" s="153"/>
      <c r="D8" s="153"/>
      <c r="E8" s="153"/>
      <c r="F8" s="3" t="s">
        <v>70</v>
      </c>
      <c r="G8" s="4">
        <v>0.0097</v>
      </c>
      <c r="H8" s="14"/>
      <c r="I8" s="15"/>
    </row>
    <row r="9" spans="1:9" ht="15">
      <c r="A9" s="13"/>
      <c r="B9" s="153" t="s">
        <v>71</v>
      </c>
      <c r="C9" s="153"/>
      <c r="D9" s="153"/>
      <c r="E9" s="153"/>
      <c r="F9" s="3" t="s">
        <v>72</v>
      </c>
      <c r="G9" s="4">
        <v>0.012</v>
      </c>
      <c r="H9" s="14"/>
      <c r="I9" s="15"/>
    </row>
    <row r="10" spans="1:9" ht="15">
      <c r="A10" s="13"/>
      <c r="B10" s="153" t="s">
        <v>73</v>
      </c>
      <c r="C10" s="153"/>
      <c r="D10" s="153"/>
      <c r="E10" s="153"/>
      <c r="F10" s="3" t="s">
        <v>74</v>
      </c>
      <c r="G10" s="5">
        <v>0.085</v>
      </c>
      <c r="H10" s="14"/>
      <c r="I10" s="15"/>
    </row>
    <row r="11" spans="1:9" ht="38.25" customHeight="1">
      <c r="A11" s="13"/>
      <c r="B11" s="154" t="s">
        <v>75</v>
      </c>
      <c r="C11" s="142" t="s">
        <v>76</v>
      </c>
      <c r="D11" s="143"/>
      <c r="E11" s="144"/>
      <c r="F11" s="155" t="s">
        <v>77</v>
      </c>
      <c r="G11" s="5">
        <v>0.0065</v>
      </c>
      <c r="H11" s="14"/>
      <c r="I11" s="15"/>
    </row>
    <row r="12" spans="1:9" ht="38.25" customHeight="1">
      <c r="A12" s="13"/>
      <c r="B12" s="154"/>
      <c r="C12" s="142" t="s">
        <v>78</v>
      </c>
      <c r="D12" s="143"/>
      <c r="E12" s="144"/>
      <c r="F12" s="155"/>
      <c r="G12" s="5">
        <v>0.03</v>
      </c>
      <c r="H12" s="14"/>
      <c r="I12" s="15"/>
    </row>
    <row r="13" spans="1:9" ht="63.75" customHeight="1">
      <c r="A13" s="13"/>
      <c r="B13" s="154"/>
      <c r="C13" s="142" t="s">
        <v>79</v>
      </c>
      <c r="D13" s="143"/>
      <c r="E13" s="144"/>
      <c r="F13" s="155"/>
      <c r="G13" s="6">
        <v>0.02</v>
      </c>
      <c r="H13" s="14"/>
      <c r="I13" s="15"/>
    </row>
    <row r="14" spans="1:9" ht="25.5" customHeight="1">
      <c r="A14" s="13"/>
      <c r="B14" s="154"/>
      <c r="C14" s="145" t="s">
        <v>80</v>
      </c>
      <c r="D14" s="146"/>
      <c r="E14" s="147"/>
      <c r="F14" s="155"/>
      <c r="G14" s="6">
        <f>IF('[1]Dados'!$G$23="desonerado",4.5%,IF('[1]Dados'!$G$23="não desonerado",0%,"Ver aba DADOS"))</f>
        <v>0.045</v>
      </c>
      <c r="H14" s="14"/>
      <c r="I14" s="15"/>
    </row>
    <row r="15" spans="1:9" ht="38.25" customHeight="1">
      <c r="A15" s="13"/>
      <c r="B15" s="148" t="s">
        <v>81</v>
      </c>
      <c r="C15" s="149"/>
      <c r="D15" s="149"/>
      <c r="E15" s="149"/>
      <c r="F15" s="150"/>
      <c r="G15" s="7">
        <v>0.3</v>
      </c>
      <c r="H15" s="14"/>
      <c r="I15" s="15"/>
    </row>
    <row r="16" spans="1:9" ht="15">
      <c r="A16" s="13"/>
      <c r="B16" s="16"/>
      <c r="C16" s="16"/>
      <c r="D16" s="16"/>
      <c r="E16" s="16"/>
      <c r="F16" s="16"/>
      <c r="G16" s="16"/>
      <c r="H16" s="14"/>
      <c r="I16" s="15"/>
    </row>
    <row r="17" spans="1:9" ht="15">
      <c r="A17" s="13"/>
      <c r="B17" s="16" t="s">
        <v>82</v>
      </c>
      <c r="C17" s="16"/>
      <c r="D17" s="16"/>
      <c r="E17" s="16"/>
      <c r="F17" s="16"/>
      <c r="G17" s="16"/>
      <c r="H17" s="14"/>
      <c r="I17" s="15"/>
    </row>
    <row r="18" spans="1:9" ht="15">
      <c r="A18" s="13"/>
      <c r="B18" s="16"/>
      <c r="C18" s="16"/>
      <c r="D18" s="16"/>
      <c r="E18" s="16"/>
      <c r="F18" s="16"/>
      <c r="G18" s="16"/>
      <c r="H18" s="14"/>
      <c r="I18" s="15"/>
    </row>
    <row r="19" spans="1:9" ht="15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5">
      <c r="A20" s="13"/>
      <c r="B20" s="14"/>
      <c r="C20" s="14"/>
      <c r="D20" s="14"/>
      <c r="E20" s="14"/>
      <c r="F20" s="14"/>
      <c r="G20" s="14"/>
      <c r="H20" s="14"/>
      <c r="I20" s="15"/>
    </row>
    <row r="21" spans="1:9" ht="15">
      <c r="A21" s="13"/>
      <c r="B21" s="151"/>
      <c r="C21" s="151"/>
      <c r="D21" s="151"/>
      <c r="E21" s="151"/>
      <c r="F21" s="151"/>
      <c r="G21" s="151"/>
      <c r="H21" s="14"/>
      <c r="I21" s="15"/>
    </row>
    <row r="22" spans="1:9" ht="15" customHeight="1">
      <c r="A22" s="13"/>
      <c r="B22" s="151" t="s">
        <v>84</v>
      </c>
      <c r="C22" s="151"/>
      <c r="D22" s="151"/>
      <c r="E22" s="151"/>
      <c r="F22" s="151"/>
      <c r="G22" s="151"/>
      <c r="H22" s="151"/>
      <c r="I22" s="152"/>
    </row>
    <row r="23" spans="1:9" ht="15">
      <c r="A23" s="13"/>
      <c r="B23" s="17"/>
      <c r="C23" s="18"/>
      <c r="D23" s="19"/>
      <c r="E23" s="20"/>
      <c r="F23" s="17"/>
      <c r="G23" s="18"/>
      <c r="H23" s="14"/>
      <c r="I23" s="15"/>
    </row>
    <row r="24" spans="1:9" ht="15">
      <c r="A24" s="13"/>
      <c r="B24" s="8"/>
      <c r="C24" s="8"/>
      <c r="D24" s="8"/>
      <c r="E24" s="8"/>
      <c r="F24" s="8"/>
      <c r="G24" s="8"/>
      <c r="H24" s="8"/>
      <c r="I24" s="21"/>
    </row>
    <row r="25" spans="1:9" ht="15">
      <c r="A25" s="13"/>
      <c r="B25" s="140" t="s">
        <v>83</v>
      </c>
      <c r="C25" s="140"/>
      <c r="D25" s="140"/>
      <c r="E25" s="140"/>
      <c r="F25" s="140"/>
      <c r="G25" s="140"/>
      <c r="H25" s="140"/>
      <c r="I25" s="141"/>
    </row>
    <row r="26" spans="1:9" ht="15">
      <c r="A26" s="13"/>
      <c r="B26" s="140" t="s">
        <v>86</v>
      </c>
      <c r="C26" s="140"/>
      <c r="D26" s="140"/>
      <c r="E26" s="140"/>
      <c r="F26" s="140"/>
      <c r="G26" s="140"/>
      <c r="H26" s="140"/>
      <c r="I26" s="141"/>
    </row>
    <row r="27" spans="1:9" ht="15">
      <c r="A27" s="13"/>
      <c r="B27" s="140" t="s">
        <v>85</v>
      </c>
      <c r="C27" s="140"/>
      <c r="D27" s="140"/>
      <c r="E27" s="140"/>
      <c r="F27" s="140"/>
      <c r="G27" s="140"/>
      <c r="H27" s="140"/>
      <c r="I27" s="141"/>
    </row>
    <row r="28" spans="1:9" ht="15">
      <c r="A28" s="22"/>
      <c r="B28" s="23"/>
      <c r="C28" s="23"/>
      <c r="D28" s="23"/>
      <c r="E28" s="23"/>
      <c r="F28" s="23"/>
      <c r="G28" s="23"/>
      <c r="H28" s="23"/>
      <c r="I28" s="24"/>
    </row>
  </sheetData>
  <mergeCells count="19">
    <mergeCell ref="B9:E9"/>
    <mergeCell ref="B2:G2"/>
    <mergeCell ref="B5:E5"/>
    <mergeCell ref="B6:E6"/>
    <mergeCell ref="B7:E7"/>
    <mergeCell ref="B8:E8"/>
    <mergeCell ref="B10:E10"/>
    <mergeCell ref="B11:B14"/>
    <mergeCell ref="F11:F14"/>
    <mergeCell ref="B21:G21"/>
    <mergeCell ref="B25:I25"/>
    <mergeCell ref="B26:I26"/>
    <mergeCell ref="B27:I27"/>
    <mergeCell ref="C11:E11"/>
    <mergeCell ref="C12:E12"/>
    <mergeCell ref="C13:E13"/>
    <mergeCell ref="C14:E14"/>
    <mergeCell ref="B15:F15"/>
    <mergeCell ref="B22:I2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Reis</dc:creator>
  <cp:keywords/>
  <dc:description/>
  <cp:lastModifiedBy>aclsilva</cp:lastModifiedBy>
  <cp:lastPrinted>2020-09-28T16:31:20Z</cp:lastPrinted>
  <dcterms:created xsi:type="dcterms:W3CDTF">2020-08-04T14:11:47Z</dcterms:created>
  <dcterms:modified xsi:type="dcterms:W3CDTF">2020-09-28T16:32:35Z</dcterms:modified>
  <cp:category/>
  <cp:version/>
  <cp:contentType/>
  <cp:contentStatus/>
</cp:coreProperties>
</file>